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activeTab="0"/>
  </bookViews>
  <sheets>
    <sheet name="PL" sheetId="1" r:id="rId1"/>
    <sheet name="BS" sheetId="2" r:id="rId2"/>
    <sheet name="Chg in equity" sheetId="3" r:id="rId3"/>
    <sheet name="Cash flow" sheetId="4" r:id="rId4"/>
  </sheets>
  <externalReferences>
    <externalReference r:id="rId7"/>
  </externalReferences>
  <definedNames>
    <definedName name="_xlnm.Print_Area" localSheetId="1">'BS'!$A$1:$I$65</definedName>
    <definedName name="_xlnm.Print_Area" localSheetId="3">'Cash flow'!$A$1:$E$60</definedName>
    <definedName name="_xlnm.Print_Area" localSheetId="2">'Chg in equity'!$A$1:$I$48</definedName>
    <definedName name="_xlnm.Print_Area" localSheetId="0">'PL'!$A$1:$J$41</definedName>
  </definedNames>
  <calcPr fullCalcOnLoad="1"/>
</workbook>
</file>

<file path=xl/sharedStrings.xml><?xml version="1.0" encoding="utf-8"?>
<sst xmlns="http://schemas.openxmlformats.org/spreadsheetml/2006/main" count="312" uniqueCount="239">
  <si>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</si>
  <si>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</si>
  <si>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</si>
  <si>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</si>
  <si>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</si>
  <si>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</si>
  <si>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</si>
  <si>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</si>
  <si>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</si>
  <si>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RM'000</t>
  </si>
  <si>
    <t xml:space="preserve"> </t>
  </si>
  <si>
    <t>Current Assets</t>
  </si>
  <si>
    <t>Share Capital</t>
  </si>
  <si>
    <t>Minority Interests</t>
  </si>
  <si>
    <t>KONSORTIUM LOGISTIK BERHAD</t>
  </si>
  <si>
    <t>Property, plant and equipment</t>
  </si>
  <si>
    <t>Long term investments</t>
  </si>
  <si>
    <t>Inventories</t>
  </si>
  <si>
    <t>Trade receivables</t>
  </si>
  <si>
    <t>Other receivables</t>
  </si>
  <si>
    <t>Trade payables</t>
  </si>
  <si>
    <t>Other payables</t>
  </si>
  <si>
    <t>Provision for retirement benefits</t>
  </si>
  <si>
    <t xml:space="preserve">CONDENSED CONSOLIDATED BALANCE SHEET </t>
  </si>
  <si>
    <t>CONDENSED CONSOLIDATED INCOME STATEMENT</t>
  </si>
  <si>
    <t>sen</t>
  </si>
  <si>
    <t>CONDENSED CONSOLIDATED STATEMENT OF CHANGES IN EQUITY</t>
  </si>
  <si>
    <t>Share</t>
  </si>
  <si>
    <t>Capital</t>
  </si>
  <si>
    <t>Premium</t>
  </si>
  <si>
    <t>reserves</t>
  </si>
  <si>
    <t xml:space="preserve">Retained </t>
  </si>
  <si>
    <t>earnings</t>
  </si>
  <si>
    <t>Currency translation differences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</si>
  <si>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</si>
  <si>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</si>
  <si>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</si>
  <si>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</si>
  <si>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</si>
  <si>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</si>
  <si>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</si>
  <si>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</si>
  <si>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</si>
  <si>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</si>
  <si>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</si>
  <si>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</si>
  <si>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</si>
  <si>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</si>
  <si>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</si>
  <si>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</si>
  <si>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</si>
  <si>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</si>
  <si>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</si>
  <si>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</si>
  <si>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Taxation</t>
  </si>
  <si>
    <t>Proceeds from disposal of property, plant and equipment</t>
  </si>
  <si>
    <t>Effects of exchange rate changes on cash and cash equivalents</t>
  </si>
  <si>
    <t>Repayment of hire purchase creditors</t>
  </si>
  <si>
    <t>Borrowings</t>
  </si>
  <si>
    <t>Deferred tax liabilities</t>
  </si>
  <si>
    <t>Balance as at 1 January 2005</t>
  </si>
  <si>
    <t>Profit / (Loss) from operations</t>
  </si>
  <si>
    <t>Net decrease in cash and cash equivalents</t>
  </si>
  <si>
    <t>Net cash generated from / (used in) operating activities</t>
  </si>
  <si>
    <t>Amount due from associates</t>
  </si>
  <si>
    <t xml:space="preserve"> -</t>
  </si>
  <si>
    <t>Net cash (used in) financing activities</t>
  </si>
  <si>
    <t>Profit / (Loss) before taxation</t>
  </si>
  <si>
    <t>Tax recoverable</t>
  </si>
  <si>
    <t>Deferred tax assets</t>
  </si>
  <si>
    <t>Provision for taxation</t>
  </si>
  <si>
    <t>Issue of Shares</t>
  </si>
  <si>
    <t>Dividend - 31 December 2004</t>
  </si>
  <si>
    <t>Dividend paid</t>
  </si>
  <si>
    <t>Tax recovered/(paid)</t>
  </si>
  <si>
    <t>Net cash generated from / (used in) investing activities</t>
  </si>
  <si>
    <t xml:space="preserve">- Basic   </t>
  </si>
  <si>
    <t xml:space="preserve">- Diluted  </t>
  </si>
  <si>
    <t>As at 31/12/2005</t>
  </si>
  <si>
    <t>Balance as at 31 December 2005</t>
  </si>
  <si>
    <t>Net profit / (loss) for the year</t>
  </si>
  <si>
    <t>Income received from other investments</t>
  </si>
  <si>
    <t>Proceeds from term loans and other bank borrowings</t>
  </si>
  <si>
    <t>Proceeds from balance due from associates</t>
  </si>
  <si>
    <t>NA</t>
  </si>
  <si>
    <t>for the year ended 31 December 2005.</t>
  </si>
  <si>
    <t>Balance as at 1 January 2006</t>
  </si>
  <si>
    <t>Dividend - 31 December 2005</t>
  </si>
  <si>
    <t>the Annual Financial Report for the year ended 31 December 2005.</t>
  </si>
  <si>
    <t>Net profit / (loss) for the period</t>
  </si>
  <si>
    <t>ordinary equity holders of the parent (RM)</t>
  </si>
  <si>
    <t>Net assets per share attributable to</t>
  </si>
  <si>
    <t>Attributable to :</t>
  </si>
  <si>
    <t>Minority Interest</t>
  </si>
  <si>
    <t xml:space="preserve">Earnings per share for profit attributable to </t>
  </si>
  <si>
    <t>equity holders of the Company</t>
  </si>
  <si>
    <t>Share of profit of associates</t>
  </si>
  <si>
    <t>Profit / (loss) for the period</t>
  </si>
  <si>
    <t xml:space="preserve">Operating Expenses </t>
  </si>
  <si>
    <t>Other income</t>
  </si>
  <si>
    <t>Equity holders of the parent</t>
  </si>
  <si>
    <t>Attributable to equity holders of the Company</t>
  </si>
  <si>
    <t>Other</t>
  </si>
  <si>
    <t>Total Equity</t>
  </si>
  <si>
    <t>Acquisition of Diperdana's business</t>
  </si>
  <si>
    <t>and its subsidiaries</t>
  </si>
  <si>
    <t>Retained profits</t>
  </si>
  <si>
    <t>Total equity</t>
  </si>
  <si>
    <t>EQUITY</t>
  </si>
  <si>
    <t>LIABILITIES</t>
  </si>
  <si>
    <t>Non-current liabilities</t>
  </si>
  <si>
    <t>Current Liabilities</t>
  </si>
  <si>
    <t>TOTAL EQUITY AND LIABILITIES</t>
  </si>
  <si>
    <t>ASSETS</t>
  </si>
  <si>
    <t>Non-current Assets</t>
  </si>
  <si>
    <t>Investments in associates</t>
  </si>
  <si>
    <t>TOTAL ASSETS</t>
  </si>
  <si>
    <t>Total Liabilities</t>
  </si>
  <si>
    <t>Capital and reserves attributable to the Company's</t>
  </si>
  <si>
    <t>equity holders</t>
  </si>
  <si>
    <t>Reclassification of opening minority interest</t>
  </si>
  <si>
    <t>Reserves attributable to revenue</t>
  </si>
  <si>
    <t>Reserves attributable to capital</t>
  </si>
  <si>
    <t>Repayment of  loans and other bank borrowings</t>
  </si>
  <si>
    <t>Proceeds from disposal of associates</t>
  </si>
  <si>
    <t>2005</t>
  </si>
  <si>
    <t>ENDED</t>
  </si>
  <si>
    <t>Interim Report for the Year Ended 31 December 2006</t>
  </si>
  <si>
    <t>Interim Report for the period ended 31 December 2006</t>
  </si>
  <si>
    <t>Interim Report for the year ended 31 December 2006</t>
  </si>
  <si>
    <t>As at 31/12/2006</t>
  </si>
  <si>
    <t>KONSORTIUM LOGISTIK BHD GROUP</t>
  </si>
  <si>
    <t>Consolidated Balance sheets</t>
  </si>
  <si>
    <t>Currency:RM</t>
  </si>
  <si>
    <t>Non current assets</t>
  </si>
  <si>
    <t>Subsidiary companies</t>
  </si>
  <si>
    <t>Provision for diminution in value - Subsi</t>
  </si>
  <si>
    <t>Associated companies</t>
  </si>
  <si>
    <t>Provision for diminution in value - Assoc</t>
  </si>
  <si>
    <t>Amt due from / to associated companies</t>
  </si>
  <si>
    <t>Provision for doubtful debts for assoc co</t>
  </si>
  <si>
    <t>Investment properties</t>
  </si>
  <si>
    <t>Other investment</t>
  </si>
  <si>
    <t>Goodwill on consolidation</t>
  </si>
  <si>
    <t>Unrealised foreign exchange difference</t>
  </si>
  <si>
    <t>Deferred expenditure</t>
  </si>
  <si>
    <t>Current assets</t>
  </si>
  <si>
    <t>Consumable stores</t>
  </si>
  <si>
    <t>Provision for doubtful debts</t>
  </si>
  <si>
    <t xml:space="preserve">Due from ultimate holding -PPSB </t>
  </si>
  <si>
    <t>Due from holding company</t>
  </si>
  <si>
    <t>Due from related companies</t>
  </si>
  <si>
    <t>Due from subsidiary companies</t>
  </si>
  <si>
    <t>Fixed Deposits</t>
  </si>
  <si>
    <t>Bank and cash balances</t>
  </si>
  <si>
    <t>Less : current liabilities</t>
  </si>
  <si>
    <t>Due to ultimate holding - PPSB</t>
  </si>
  <si>
    <t>Due to holding company</t>
  </si>
  <si>
    <t>Due to related companies</t>
  </si>
  <si>
    <t>Due to subsidiary companies</t>
  </si>
  <si>
    <t xml:space="preserve">Due to related companies </t>
  </si>
  <si>
    <t>Hire purchase and lease creditors</t>
  </si>
  <si>
    <t>Proposed dividends</t>
  </si>
  <si>
    <t>Net current assets/(liabilities)</t>
  </si>
  <si>
    <t>Less : Non current liabilities</t>
  </si>
  <si>
    <t>Deferred tax Liabilities</t>
  </si>
  <si>
    <t>Deferred tax Assets</t>
  </si>
  <si>
    <t>Capital and reserves</t>
  </si>
  <si>
    <t>Share capital</t>
  </si>
  <si>
    <t>Share premium</t>
  </si>
  <si>
    <t>Exhange equalisation reserve</t>
  </si>
  <si>
    <t>Revaluation and other reserves</t>
  </si>
  <si>
    <t>Current year profit</t>
  </si>
  <si>
    <t>Retained earnings</t>
  </si>
  <si>
    <t>Shareholers' equity</t>
  </si>
  <si>
    <t>Minority interest</t>
  </si>
  <si>
    <t>Dividend - 2005</t>
  </si>
  <si>
    <t>NTA diff</t>
  </si>
  <si>
    <t>Interco</t>
  </si>
  <si>
    <t>Sch</t>
  </si>
  <si>
    <t>AR/AP</t>
  </si>
  <si>
    <t>AP Sub</t>
  </si>
  <si>
    <t>Others</t>
  </si>
  <si>
    <t>ASSOCIATE</t>
  </si>
  <si>
    <t>Creditor</t>
  </si>
  <si>
    <t>OTHER CREDITOR</t>
  </si>
  <si>
    <t>Other Debtor</t>
  </si>
  <si>
    <t>PROVISION OF DD</t>
  </si>
  <si>
    <t>Diff</t>
  </si>
  <si>
    <t>Q4 '06</t>
  </si>
  <si>
    <t>Q4 '05</t>
  </si>
  <si>
    <t>Disclosure</t>
  </si>
  <si>
    <t>2006</t>
  </si>
  <si>
    <t>Net acquisition/( disposal) of subsidiaries</t>
  </si>
  <si>
    <t>Interim report for the year ended 31 December 2006</t>
  </si>
  <si>
    <t>12 months ended</t>
  </si>
  <si>
    <t>Acquisition of subsidiaries</t>
  </si>
  <si>
    <t>Advances from related corporations</t>
  </si>
  <si>
    <t>Proceeds from disposal of investments property</t>
  </si>
  <si>
    <t>Restricted cash</t>
  </si>
  <si>
    <t>Cash and cash equivalents</t>
  </si>
  <si>
    <t>Deposit with licensed banks</t>
  </si>
  <si>
    <t>Deposit, bank and cash balances</t>
  </si>
  <si>
    <t>Less: Restricted cash</t>
  </si>
  <si>
    <t>1. Cashflow from operating activities</t>
  </si>
  <si>
    <t>Cash receipt from customers</t>
  </si>
  <si>
    <t>Cash paid to suppliers and employees</t>
  </si>
  <si>
    <t>Interest expense paid</t>
  </si>
  <si>
    <t>Cash generated from/ (Used in) operations activities</t>
  </si>
  <si>
    <t>2.  Cashflow from investing activities</t>
  </si>
  <si>
    <t>Acquisitions of subdisiaries</t>
  </si>
  <si>
    <t>Purchase of other investment</t>
  </si>
  <si>
    <t>Dispose what investment in HQ</t>
  </si>
  <si>
    <t>Proceeds from sale of Associate</t>
  </si>
  <si>
    <t>Proceeds from sale of Subsidiaries</t>
  </si>
  <si>
    <t>Proceeds from sale of Unquoted and other investment</t>
  </si>
  <si>
    <t>Income received from other investment</t>
  </si>
  <si>
    <t>Interest income received</t>
  </si>
  <si>
    <t>Dividend received</t>
  </si>
  <si>
    <t xml:space="preserve">Minority interest </t>
  </si>
  <si>
    <t>Associate</t>
  </si>
  <si>
    <t>Goodwill</t>
  </si>
  <si>
    <t>Net cash used in investing activities</t>
  </si>
  <si>
    <t>3.  Cashflow from financing activities</t>
  </si>
  <si>
    <t xml:space="preserve">Dividend paid </t>
  </si>
  <si>
    <t>Proceeds from term loan and other borrowings</t>
  </si>
  <si>
    <t>Repayment of loans and other borrowings</t>
  </si>
  <si>
    <t>Preceeds from hire purchase</t>
  </si>
  <si>
    <t>Effects on exchange rates on cash and  cash equivalents</t>
  </si>
  <si>
    <t>Net increase in cash &amp; cash equiv</t>
  </si>
  <si>
    <t>Cash &amp; cash equiv brought forward</t>
  </si>
  <si>
    <t>Net cash from financing activities</t>
  </si>
  <si>
    <t>Cash &amp; cash equiv carried forward</t>
  </si>
  <si>
    <t xml:space="preserve">Note </t>
  </si>
  <si>
    <t>Proceed from hire purchase creditors</t>
  </si>
  <si>
    <t>The figures have not been audited.</t>
  </si>
  <si>
    <t>Proceeds from disposal of quated/unquoted shares</t>
  </si>
  <si>
    <t>Investment property</t>
  </si>
  <si>
    <t>Balance as at 31 December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</si>
</sst>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#,###,_);\(#,###,\)"/>
    <numFmt numFmtId="181" formatCode="#,##0.0_);[Red]\(#,##0.0\)"/>
    <numFmt numFmtId="182" formatCode="0_);\(0\)"/>
    <numFmt numFmtId="183" formatCode="0.0_);\(0.0\)"/>
    <numFmt numFmtId="184" formatCode="0.00_);\(0.00\)"/>
    <numFmt numFmtId="185" formatCode="0.0"/>
    <numFmt numFmtId="186" formatCode="_ * #,##0_ ;_ * \(#,##0\)_ ;_ * &quot;-&quot;_ ;_ @_ "/>
    <numFmt numFmtId="187" formatCode="_(* #,##0.000_);_(* \(#,##0.000\);_(* &quot;-&quot;??_);_(@_)"/>
    <numFmt numFmtId="188" formatCode="_(* #,##0.0000_);_(* \(#,##0.0000\);_(* &quot;-&quot;??_);_(@_)"/>
    <numFmt numFmtId="189" formatCode="0.0%"/>
    <numFmt numFmtId="190" formatCode="_(* #,##0.00000_);_(* \(#,##0.00000\);_(* &quot;-&quot;?????_);_(@_)"/>
    <numFmt numFmtId="191" formatCode="_(* #,##0.0000000000_);_(* \(#,##0.0000000000\);_(* &quot;-&quot;??????????_);_(@_)"/>
    <numFmt numFmtId="192" formatCode="_(* #,##0.00000000000_);_(* \(#,##0.00000000000\);_(* &quot;-&quot;???????????_);_(@_)"/>
    <numFmt numFmtId="193" formatCode="_(* #,##0.000000000000_);_(* \(#,##0.000000000000\);_(* &quot;-&quot;????????????_);_(@_)"/>
    <numFmt numFmtId="194" formatCode="_(* #,##0.000_);_(* \(#,##0.000\);_(* &quot;-&quot;???_);_(@_)"/>
    <numFmt numFmtId="195" formatCode="[$-409]dddd\,\ mmmm\ dd\,\ yyyy"/>
    <numFmt numFmtId="196" formatCode="[$-809]d\ mmmm\ yyyy;@"/>
    <numFmt numFmtId="197" formatCode="[$-809]dd\ mmmm\ yyyy;@"/>
    <numFmt numFmtId="198" formatCode="_(* #,##0.00000_);_(* \(#,##0.000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Helv"/>
      <family val="2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9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179" fontId="1" fillId="0" borderId="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5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79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9" fontId="5" fillId="0" borderId="0" xfId="15" applyNumberFormat="1" applyFont="1" applyBorder="1" applyAlignment="1">
      <alignment/>
    </xf>
    <xf numFmtId="186" fontId="4" fillId="0" borderId="0" xfId="16" applyNumberFormat="1" applyFont="1" applyAlignment="1">
      <alignment horizontal="left"/>
    </xf>
    <xf numFmtId="186" fontId="4" fillId="0" borderId="0" xfId="16" applyNumberFormat="1" applyFont="1" applyFill="1" applyAlignment="1" quotePrefix="1">
      <alignment horizontal="left"/>
    </xf>
    <xf numFmtId="179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15" applyNumberFormat="1" applyFont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1" xfId="15" applyNumberFormat="1" applyFont="1" applyBorder="1" applyAlignment="1">
      <alignment/>
    </xf>
    <xf numFmtId="0" fontId="8" fillId="0" borderId="0" xfId="0" applyFont="1" applyAlignment="1" quotePrefix="1">
      <alignment/>
    </xf>
    <xf numFmtId="179" fontId="8" fillId="0" borderId="0" xfId="15" applyNumberFormat="1" applyFont="1" applyAlignment="1">
      <alignment horizontal="right"/>
    </xf>
    <xf numFmtId="43" fontId="8" fillId="0" borderId="0" xfId="15" applyFont="1" applyAlignment="1">
      <alignment horizontal="right"/>
    </xf>
    <xf numFmtId="179" fontId="2" fillId="0" borderId="0" xfId="15" applyNumberFormat="1" applyFont="1" applyAlignment="1">
      <alignment/>
    </xf>
    <xf numFmtId="43" fontId="1" fillId="0" borderId="0" xfId="15" applyFont="1" applyAlignment="1">
      <alignment/>
    </xf>
    <xf numFmtId="179" fontId="8" fillId="0" borderId="2" xfId="15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79" fontId="1" fillId="0" borderId="0" xfId="15" applyNumberFormat="1" applyFont="1" applyFill="1" applyBorder="1" applyAlignment="1">
      <alignment/>
    </xf>
    <xf numFmtId="179" fontId="1" fillId="0" borderId="3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86" fontId="13" fillId="0" borderId="0" xfId="16" applyNumberFormat="1" applyFont="1" applyFill="1" applyAlignment="1">
      <alignment horizontal="left"/>
    </xf>
    <xf numFmtId="179" fontId="8" fillId="0" borderId="0" xfId="21" applyNumberFormat="1" applyFont="1" applyAlignment="1">
      <alignment/>
    </xf>
    <xf numFmtId="196" fontId="8" fillId="0" borderId="0" xfId="0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 horizontal="center"/>
    </xf>
    <xf numFmtId="179" fontId="8" fillId="0" borderId="1" xfId="15" applyNumberFormat="1" applyFont="1" applyBorder="1" applyAlignment="1">
      <alignment horizontal="center"/>
    </xf>
    <xf numFmtId="9" fontId="8" fillId="0" borderId="0" xfId="21" applyFont="1" applyAlignment="1">
      <alignment/>
    </xf>
    <xf numFmtId="179" fontId="5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3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5" fillId="0" borderId="2" xfId="15" applyNumberFormat="1" applyFont="1" applyBorder="1" applyAlignment="1">
      <alignment/>
    </xf>
    <xf numFmtId="179" fontId="4" fillId="0" borderId="0" xfId="15" applyNumberFormat="1" applyFont="1" applyFill="1" applyAlignment="1" quotePrefix="1">
      <alignment/>
    </xf>
    <xf numFmtId="179" fontId="4" fillId="0" borderId="0" xfId="15" applyNumberFormat="1" applyFont="1" applyFill="1" applyAlignment="1">
      <alignment/>
    </xf>
    <xf numFmtId="179" fontId="6" fillId="0" borderId="0" xfId="15" applyNumberFormat="1" applyFont="1" applyAlignment="1">
      <alignment/>
    </xf>
    <xf numFmtId="179" fontId="8" fillId="0" borderId="0" xfId="0" applyNumberFormat="1" applyFont="1" applyAlignment="1">
      <alignment/>
    </xf>
    <xf numFmtId="19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79" fontId="4" fillId="0" borderId="0" xfId="15" applyNumberFormat="1" applyFont="1" applyFill="1" applyAlignment="1" quotePrefix="1">
      <alignment horizontal="left"/>
    </xf>
    <xf numFmtId="179" fontId="5" fillId="0" borderId="0" xfId="15" applyNumberFormat="1" applyFont="1" applyFill="1" applyBorder="1" applyAlignment="1">
      <alignment/>
    </xf>
    <xf numFmtId="179" fontId="14" fillId="0" borderId="0" xfId="15" applyNumberFormat="1" applyFont="1" applyFill="1" applyAlignment="1">
      <alignment horizontal="left"/>
    </xf>
    <xf numFmtId="179" fontId="5" fillId="0" borderId="0" xfId="15" applyNumberFormat="1" applyFont="1" applyFill="1" applyBorder="1" applyAlignment="1">
      <alignment horizontal="center"/>
    </xf>
    <xf numFmtId="198" fontId="14" fillId="0" borderId="0" xfId="15" applyNumberFormat="1" applyFont="1" applyFill="1" applyAlignment="1" quotePrefix="1">
      <alignment/>
    </xf>
    <xf numFmtId="198" fontId="5" fillId="0" borderId="0" xfId="15" applyNumberFormat="1" applyFont="1" applyFill="1" applyBorder="1" applyAlignment="1">
      <alignment/>
    </xf>
    <xf numFmtId="9" fontId="14" fillId="0" borderId="0" xfId="21" applyFont="1" applyFill="1" applyAlignment="1">
      <alignment/>
    </xf>
    <xf numFmtId="9" fontId="5" fillId="0" borderId="0" xfId="21" applyFont="1" applyFill="1" applyBorder="1" applyAlignment="1">
      <alignment/>
    </xf>
    <xf numFmtId="179" fontId="14" fillId="0" borderId="0" xfId="15" applyNumberFormat="1" applyFont="1" applyFill="1" applyAlignment="1" quotePrefix="1">
      <alignment/>
    </xf>
    <xf numFmtId="179" fontId="4" fillId="0" borderId="0" xfId="15" applyNumberFormat="1" applyFont="1" applyFill="1" applyAlignment="1">
      <alignment horizontal="center" wrapText="1"/>
    </xf>
    <xf numFmtId="179" fontId="4" fillId="0" borderId="0" xfId="15" applyNumberFormat="1" applyFont="1" applyFill="1" applyBorder="1" applyAlignment="1">
      <alignment/>
    </xf>
    <xf numFmtId="179" fontId="4" fillId="2" borderId="0" xfId="15" applyNumberFormat="1" applyFont="1" applyFill="1" applyBorder="1" applyAlignment="1">
      <alignment/>
    </xf>
    <xf numFmtId="179" fontId="5" fillId="2" borderId="0" xfId="15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2" borderId="0" xfId="0" applyNumberFormat="1" applyFont="1" applyFill="1" applyBorder="1" applyAlignment="1">
      <alignment/>
    </xf>
    <xf numFmtId="179" fontId="16" fillId="0" borderId="0" xfId="15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198" fontId="4" fillId="2" borderId="0" xfId="15" applyNumberFormat="1" applyFont="1" applyFill="1" applyBorder="1" applyAlignment="1">
      <alignment horizontal="center"/>
    </xf>
    <xf numFmtId="198" fontId="4" fillId="0" borderId="0" xfId="15" applyNumberFormat="1" applyFont="1" applyFill="1" applyBorder="1" applyAlignment="1">
      <alignment horizontal="center"/>
    </xf>
    <xf numFmtId="9" fontId="4" fillId="2" borderId="0" xfId="21" applyFont="1" applyFill="1" applyBorder="1" applyAlignment="1" quotePrefix="1">
      <alignment horizontal="center"/>
    </xf>
    <xf numFmtId="9" fontId="5" fillId="0" borderId="0" xfId="21" applyFont="1" applyFill="1" applyBorder="1" applyAlignment="1" quotePrefix="1">
      <alignment horizontal="center"/>
    </xf>
    <xf numFmtId="179" fontId="4" fillId="2" borderId="0" xfId="15" applyNumberFormat="1" applyFont="1" applyFill="1" applyBorder="1" applyAlignment="1" quotePrefix="1">
      <alignment horizontal="center"/>
    </xf>
    <xf numFmtId="179" fontId="4" fillId="2" borderId="5" xfId="15" applyNumberFormat="1" applyFont="1" applyFill="1" applyBorder="1" applyAlignment="1">
      <alignment/>
    </xf>
    <xf numFmtId="179" fontId="5" fillId="0" borderId="5" xfId="15" applyNumberFormat="1" applyFont="1" applyFill="1" applyBorder="1" applyAlignment="1">
      <alignment/>
    </xf>
    <xf numFmtId="179" fontId="4" fillId="2" borderId="6" xfId="15" applyNumberFormat="1" applyFont="1" applyFill="1" applyBorder="1" applyAlignment="1">
      <alignment/>
    </xf>
    <xf numFmtId="179" fontId="5" fillId="0" borderId="6" xfId="15" applyNumberFormat="1" applyFont="1" applyFill="1" applyBorder="1" applyAlignment="1">
      <alignment/>
    </xf>
    <xf numFmtId="179" fontId="4" fillId="2" borderId="2" xfId="15" applyNumberFormat="1" applyFont="1" applyFill="1" applyBorder="1" applyAlignment="1">
      <alignment/>
    </xf>
    <xf numFmtId="179" fontId="5" fillId="0" borderId="2" xfId="15" applyNumberFormat="1" applyFont="1" applyFill="1" applyBorder="1" applyAlignment="1">
      <alignment/>
    </xf>
    <xf numFmtId="179" fontId="4" fillId="2" borderId="1" xfId="15" applyNumberFormat="1" applyFont="1" applyFill="1" applyBorder="1" applyAlignment="1">
      <alignment/>
    </xf>
    <xf numFmtId="179" fontId="5" fillId="0" borderId="1" xfId="15" applyNumberFormat="1" applyFont="1" applyFill="1" applyBorder="1" applyAlignment="1">
      <alignment/>
    </xf>
    <xf numFmtId="179" fontId="16" fillId="2" borderId="0" xfId="15" applyNumberFormat="1" applyFont="1" applyFill="1" applyBorder="1" applyAlignment="1">
      <alignment/>
    </xf>
    <xf numFmtId="179" fontId="19" fillId="0" borderId="0" xfId="15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 quotePrefix="1">
      <alignment horizontal="center"/>
    </xf>
    <xf numFmtId="179" fontId="20" fillId="0" borderId="0" xfId="15" applyNumberFormat="1" applyFont="1" applyBorder="1" applyAlignment="1" quotePrefix="1">
      <alignment horizontal="center"/>
    </xf>
    <xf numFmtId="0" fontId="20" fillId="0" borderId="0" xfId="0" applyFont="1" applyBorder="1" applyAlignment="1">
      <alignment horizontal="left"/>
    </xf>
    <xf numFmtId="179" fontId="20" fillId="0" borderId="0" xfId="15" applyNumberFormat="1" applyFont="1" applyBorder="1" applyAlignment="1">
      <alignment horizontal="left"/>
    </xf>
    <xf numFmtId="179" fontId="20" fillId="0" borderId="0" xfId="15" applyNumberFormat="1" applyFont="1" applyBorder="1" applyAlignment="1">
      <alignment horizontal="right"/>
    </xf>
    <xf numFmtId="179" fontId="20" fillId="0" borderId="0" xfId="0" applyNumberFormat="1" applyFont="1" applyBorder="1" applyAlignment="1">
      <alignment horizontal="left"/>
    </xf>
    <xf numFmtId="179" fontId="20" fillId="0" borderId="1" xfId="0" applyNumberFormat="1" applyFont="1" applyBorder="1" applyAlignment="1">
      <alignment horizontal="left"/>
    </xf>
    <xf numFmtId="179" fontId="20" fillId="0" borderId="1" xfId="15" applyNumberFormat="1" applyFont="1" applyBorder="1" applyAlignment="1">
      <alignment horizontal="right"/>
    </xf>
    <xf numFmtId="17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179" fontId="20" fillId="0" borderId="0" xfId="0" applyNumberFormat="1" applyFont="1" applyAlignment="1">
      <alignment horizontal="right"/>
    </xf>
    <xf numFmtId="179" fontId="20" fillId="0" borderId="1" xfId="0" applyNumberFormat="1" applyFont="1" applyBorder="1" applyAlignment="1">
      <alignment horizontal="right"/>
    </xf>
    <xf numFmtId="179" fontId="20" fillId="0" borderId="0" xfId="15" applyNumberFormat="1" applyFont="1" applyAlignment="1">
      <alignment horizontal="left"/>
    </xf>
    <xf numFmtId="179" fontId="20" fillId="0" borderId="0" xfId="15" applyNumberFormat="1" applyFont="1" applyAlignment="1">
      <alignment horizontal="right"/>
    </xf>
    <xf numFmtId="179" fontId="20" fillId="0" borderId="2" xfId="15" applyNumberFormat="1" applyFont="1" applyBorder="1" applyAlignment="1">
      <alignment horizontal="left"/>
    </xf>
    <xf numFmtId="179" fontId="20" fillId="0" borderId="2" xfId="15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7" fontId="21" fillId="0" borderId="0" xfId="0" applyNumberFormat="1" applyFont="1" applyAlignment="1">
      <alignment horizontal="left"/>
    </xf>
    <xf numFmtId="37" fontId="20" fillId="0" borderId="0" xfId="0" applyNumberFormat="1" applyFont="1" applyAlignment="1">
      <alignment horizontal="left"/>
    </xf>
    <xf numFmtId="37" fontId="22" fillId="0" borderId="0" xfId="0" applyNumberFormat="1" applyFont="1" applyAlignment="1">
      <alignment horizontal="left"/>
    </xf>
    <xf numFmtId="179" fontId="20" fillId="0" borderId="7" xfId="15" applyNumberFormat="1" applyFont="1" applyBorder="1" applyAlignment="1">
      <alignment horizontal="right"/>
    </xf>
    <xf numFmtId="37" fontId="20" fillId="2" borderId="0" xfId="0" applyNumberFormat="1" applyFont="1" applyFill="1" applyAlignment="1">
      <alignment horizontal="left"/>
    </xf>
    <xf numFmtId="179" fontId="20" fillId="2" borderId="0" xfId="15" applyNumberFormat="1" applyFont="1" applyFill="1" applyAlignment="1">
      <alignment horizontal="right"/>
    </xf>
    <xf numFmtId="37" fontId="23" fillId="0" borderId="0" xfId="0" applyNumberFormat="1" applyFont="1" applyAlignment="1">
      <alignment horizontal="left"/>
    </xf>
    <xf numFmtId="37" fontId="20" fillId="0" borderId="0" xfId="0" applyNumberFormat="1" applyFont="1" applyBorder="1" applyAlignment="1">
      <alignment horizontal="right"/>
    </xf>
    <xf numFmtId="37" fontId="21" fillId="0" borderId="3" xfId="0" applyNumberFormat="1" applyFont="1" applyBorder="1" applyAlignment="1">
      <alignment horizontal="right"/>
    </xf>
    <xf numFmtId="37" fontId="21" fillId="0" borderId="0" xfId="0" applyNumberFormat="1" applyFont="1" applyBorder="1" applyAlignment="1">
      <alignment horizontal="right"/>
    </xf>
    <xf numFmtId="37" fontId="21" fillId="0" borderId="0" xfId="0" applyNumberFormat="1" applyFont="1" applyAlignment="1">
      <alignment horizontal="right"/>
    </xf>
    <xf numFmtId="179" fontId="21" fillId="0" borderId="2" xfId="15" applyNumberFormat="1" applyFont="1" applyBorder="1" applyAlignment="1">
      <alignment/>
    </xf>
    <xf numFmtId="179" fontId="21" fillId="0" borderId="0" xfId="15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179" fontId="5" fillId="0" borderId="0" xfId="0" applyNumberFormat="1" applyFont="1" applyAlignment="1">
      <alignment/>
    </xf>
    <xf numFmtId="179" fontId="5" fillId="0" borderId="7" xfId="15" applyNumberFormat="1" applyFont="1" applyBorder="1" applyAlignment="1">
      <alignment/>
    </xf>
    <xf numFmtId="179" fontId="5" fillId="0" borderId="1" xfId="15" applyNumberFormat="1" applyFont="1" applyBorder="1" applyAlignment="1">
      <alignment horizontal="left"/>
    </xf>
    <xf numFmtId="179" fontId="5" fillId="0" borderId="0" xfId="15" applyNumberFormat="1" applyFont="1" applyBorder="1" applyAlignment="1">
      <alignment horizontal="left"/>
    </xf>
    <xf numFmtId="179" fontId="5" fillId="0" borderId="1" xfId="15" applyNumberFormat="1" applyFont="1" applyBorder="1" applyAlignment="1">
      <alignment horizontal="right"/>
    </xf>
    <xf numFmtId="179" fontId="5" fillId="0" borderId="6" xfId="15" applyNumberFormat="1" applyFont="1" applyBorder="1" applyAlignment="1">
      <alignment horizontal="left"/>
    </xf>
    <xf numFmtId="179" fontId="5" fillId="0" borderId="6" xfId="15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%20Q4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 of results"/>
      <sheetName val="analysis2"/>
      <sheetName val="MI"/>
      <sheetName val="Borrowings"/>
      <sheetName val="Segment BS"/>
      <sheetName val="permanent adj"/>
      <sheetName val="Co-P&amp;L"/>
      <sheetName val="Co-BS"/>
      <sheetName val="current adj"/>
      <sheetName val="Group-P&amp;L"/>
      <sheetName val="Group-BS"/>
      <sheetName val="Translation of BS"/>
      <sheetName val="Translation of IS"/>
      <sheetName val="Segment PnL"/>
      <sheetName val=" Assoc"/>
      <sheetName val="Assoc1"/>
      <sheetName val="Other income "/>
      <sheetName val="Cashflow"/>
      <sheetName val="cashflow forex"/>
      <sheetName val="Disposal ass"/>
      <sheetName val="Disposalshare"/>
      <sheetName val="DisposalNKL"/>
      <sheetName val="PDisposal"/>
      <sheetName val="AcqWest"/>
      <sheetName val="QINVEST"/>
    </sheetNames>
    <sheetDataSet>
      <sheetData sheetId="9">
        <row r="10">
          <cell r="C10">
            <v>253739252.48999998</v>
          </cell>
          <cell r="EL10">
            <v>237319987.1450164</v>
          </cell>
        </row>
        <row r="20">
          <cell r="C20">
            <v>-108326299.84</v>
          </cell>
          <cell r="EL20">
            <v>-93473301.62465638</v>
          </cell>
        </row>
        <row r="29">
          <cell r="C29">
            <v>-63691715.940000005</v>
          </cell>
          <cell r="EL29">
            <v>-89407830.5062123</v>
          </cell>
        </row>
        <row r="34">
          <cell r="C34">
            <v>3371345.824444443</v>
          </cell>
          <cell r="EL34">
            <v>4759031.43572521</v>
          </cell>
        </row>
        <row r="39">
          <cell r="C39">
            <v>2031740.009999998</v>
          </cell>
          <cell r="EL39">
            <v>10292643.85901125</v>
          </cell>
        </row>
        <row r="54">
          <cell r="C54">
            <v>-53360920.58945356</v>
          </cell>
          <cell r="EL54">
            <v>-43924711.21317808</v>
          </cell>
        </row>
        <row r="57">
          <cell r="C57">
            <v>-6803274.472074001</v>
          </cell>
          <cell r="EL57">
            <v>-8857964.955860002</v>
          </cell>
        </row>
        <row r="66">
          <cell r="C66">
            <v>2069590.6200314136</v>
          </cell>
          <cell r="EL66">
            <v>3738775.6168863</v>
          </cell>
        </row>
        <row r="69">
          <cell r="C69">
            <v>-5319292.14</v>
          </cell>
          <cell r="EL69">
            <v>-4305867.98</v>
          </cell>
        </row>
        <row r="70">
          <cell r="C70">
            <v>0.2756493471097201</v>
          </cell>
          <cell r="EL70">
            <v>-812713.352205</v>
          </cell>
        </row>
        <row r="71">
          <cell r="C71">
            <v>-1985678</v>
          </cell>
          <cell r="EL71">
            <v>1759152</v>
          </cell>
        </row>
        <row r="74">
          <cell r="C74">
            <v>-520744.1839999998</v>
          </cell>
          <cell r="EL74">
            <v>-321960.6419999999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tabSelected="1" zoomScale="79" zoomScaleNormal="79" workbookViewId="0" topLeftCell="A12">
      <selection activeCell="J30" sqref="J30"/>
    </sheetView>
  </sheetViews>
  <sheetFormatPr defaultColWidth="9.140625" defaultRowHeight="12.75"/>
  <cols>
    <col min="1" max="2" width="2.8515625" style="27" customWidth="1"/>
    <col min="3" max="3" width="39.421875" style="27" customWidth="1"/>
    <col min="4" max="4" width="22.57421875" style="27" bestFit="1" customWidth="1"/>
    <col min="5" max="5" width="1.8515625" style="27" customWidth="1"/>
    <col min="6" max="6" width="25.28125" style="27" bestFit="1" customWidth="1"/>
    <col min="7" max="7" width="3.421875" style="27" customWidth="1"/>
    <col min="8" max="8" width="22.57421875" style="27" bestFit="1" customWidth="1"/>
    <col min="9" max="9" width="2.00390625" style="27" customWidth="1"/>
    <col min="10" max="10" width="25.28125" style="27" bestFit="1" customWidth="1"/>
    <col min="11" max="11" width="2.7109375" style="27" customWidth="1"/>
    <col min="12" max="12" width="16.140625" style="32" customWidth="1"/>
    <col min="13" max="13" width="12.421875" style="27" customWidth="1"/>
    <col min="14" max="14" width="9.7109375" style="27" customWidth="1"/>
    <col min="15" max="16" width="9.140625" style="27" customWidth="1"/>
    <col min="17" max="16384" width="9.140625" style="27" customWidth="1"/>
  </cols>
  <sheetData>
    <row r="2" spans="2:10" ht="18.75">
      <c r="B2" s="26" t="s">
        <v>14</v>
      </c>
      <c r="C2" s="26"/>
      <c r="J2" s="28"/>
    </row>
    <row r="3" spans="2:3" ht="18.75">
      <c r="B3" s="26" t="s">
        <v>24</v>
      </c>
      <c r="C3" s="26"/>
    </row>
    <row r="4" spans="2:3" ht="18.75">
      <c r="B4" s="26" t="s">
        <v>127</v>
      </c>
      <c r="C4" s="26"/>
    </row>
    <row r="5" ht="18.75">
      <c r="B5" s="29" t="s">
        <v>235</v>
      </c>
    </row>
    <row r="7" spans="4:12" s="30" customFormat="1" ht="18.75">
      <c r="D7" s="143" t="s">
        <v>1</v>
      </c>
      <c r="E7" s="143"/>
      <c r="F7" s="143"/>
      <c r="H7" s="143" t="s">
        <v>2</v>
      </c>
      <c r="I7" s="143"/>
      <c r="J7" s="143"/>
      <c r="L7" s="31"/>
    </row>
    <row r="8" spans="4:12" s="30" customFormat="1" ht="18.75">
      <c r="D8" s="30" t="s">
        <v>3</v>
      </c>
      <c r="F8" s="30" t="s">
        <v>4</v>
      </c>
      <c r="H8" s="30" t="s">
        <v>5</v>
      </c>
      <c r="J8" s="30" t="s">
        <v>4</v>
      </c>
      <c r="L8" s="31"/>
    </row>
    <row r="9" spans="4:12" s="30" customFormat="1" ht="18.75">
      <c r="D9" s="30" t="s">
        <v>6</v>
      </c>
      <c r="F9" s="30" t="s">
        <v>7</v>
      </c>
      <c r="H9" s="30" t="s">
        <v>6</v>
      </c>
      <c r="J9" s="30" t="s">
        <v>7</v>
      </c>
      <c r="L9" s="31"/>
    </row>
    <row r="10" spans="4:13" s="30" customFormat="1" ht="18.75">
      <c r="D10" s="30" t="s">
        <v>8</v>
      </c>
      <c r="F10" s="30" t="s">
        <v>8</v>
      </c>
      <c r="H10" s="30" t="s">
        <v>126</v>
      </c>
      <c r="J10" s="30" t="str">
        <f>H10</f>
        <v>ENDED</v>
      </c>
      <c r="L10" s="31">
        <v>2006</v>
      </c>
      <c r="M10" s="67" t="s">
        <v>125</v>
      </c>
    </row>
    <row r="11" spans="4:12" s="30" customFormat="1" ht="18.75">
      <c r="D11" s="50">
        <v>39082</v>
      </c>
      <c r="F11" s="50">
        <v>38717</v>
      </c>
      <c r="G11" s="51"/>
      <c r="H11" s="66">
        <f>D11</f>
        <v>39082</v>
      </c>
      <c r="I11" s="51"/>
      <c r="J11" s="51">
        <f>F11</f>
        <v>38717</v>
      </c>
      <c r="L11" s="31"/>
    </row>
    <row r="12" spans="4:12" s="30" customFormat="1" ht="18.75">
      <c r="D12" s="30" t="s">
        <v>9</v>
      </c>
      <c r="F12" s="30" t="s">
        <v>9</v>
      </c>
      <c r="H12" s="30" t="s">
        <v>9</v>
      </c>
      <c r="J12" s="30" t="s">
        <v>9</v>
      </c>
      <c r="L12" s="31"/>
    </row>
    <row r="13" spans="6:10" ht="18.75">
      <c r="F13" s="30"/>
      <c r="G13" s="30"/>
      <c r="H13" s="30"/>
      <c r="I13" s="30"/>
      <c r="J13" s="30"/>
    </row>
    <row r="14" spans="6:13" ht="18.75">
      <c r="F14" s="30"/>
      <c r="G14" s="30"/>
      <c r="H14" s="30"/>
      <c r="I14" s="30"/>
      <c r="J14" s="30"/>
      <c r="M14" s="27">
        <f>54149-62443</f>
        <v>-8294</v>
      </c>
    </row>
    <row r="15" spans="2:13" ht="18" customHeight="1">
      <c r="B15" s="27" t="s">
        <v>37</v>
      </c>
      <c r="D15" s="31">
        <f>+H15-L15</f>
        <v>62443.252489999984</v>
      </c>
      <c r="E15" s="32"/>
      <c r="F15" s="32">
        <f>J15-M15</f>
        <v>67807.9871450164</v>
      </c>
      <c r="G15" s="32"/>
      <c r="H15" s="31">
        <f>'[1]Group-P&amp;L'!$C$10/1000</f>
        <v>253739.25248999998</v>
      </c>
      <c r="I15" s="32"/>
      <c r="J15" s="32">
        <f>'[1]Group-P&amp;L'!$EL$10/1000</f>
        <v>237319.9871450164</v>
      </c>
      <c r="K15" s="32"/>
      <c r="L15" s="32">
        <f>199590-8294</f>
        <v>191296</v>
      </c>
      <c r="M15" s="49">
        <f>169512</f>
        <v>169512</v>
      </c>
    </row>
    <row r="16" spans="2:13" ht="18" customHeight="1">
      <c r="B16" s="27" t="s">
        <v>98</v>
      </c>
      <c r="D16" s="31">
        <f>+H16-L16</f>
        <v>-58364.022203898</v>
      </c>
      <c r="E16" s="32"/>
      <c r="F16" s="32">
        <f aca="true" t="shared" si="0" ref="F16:F22">J16-M16</f>
        <v>-76358.51863878322</v>
      </c>
      <c r="G16" s="32"/>
      <c r="H16" s="32">
        <f>('[1]Group-P&amp;L'!$C$20+'[1]Group-P&amp;L'!$C$29+'[1]Group-P&amp;L'!$C$54)/1000-H17+1</f>
        <v>-230781.022203898</v>
      </c>
      <c r="I16" s="32"/>
      <c r="J16" s="32">
        <f>('[1]Group-P&amp;L'!$EL$20+'[1]Group-P&amp;L'!$EL$29+'[1]Group-P&amp;L'!$EL$54)/1000-J17</f>
        <v>-241857.51863878322</v>
      </c>
      <c r="K16" s="32"/>
      <c r="L16" s="32">
        <f>-180711+8294</f>
        <v>-172417</v>
      </c>
      <c r="M16" s="49">
        <v>-165499</v>
      </c>
    </row>
    <row r="17" spans="2:13" ht="18" customHeight="1">
      <c r="B17" s="27" t="s">
        <v>99</v>
      </c>
      <c r="D17" s="53">
        <f>+H17-L17</f>
        <v>-246.91416555555952</v>
      </c>
      <c r="E17" s="32"/>
      <c r="F17" s="33">
        <f t="shared" si="0"/>
        <v>13212.67529473646</v>
      </c>
      <c r="G17" s="32"/>
      <c r="H17" s="33">
        <f>('[1]Group-P&amp;L'!$C$34+'[1]Group-P&amp;L'!$C$39)/1000</f>
        <v>5403.0858344444405</v>
      </c>
      <c r="I17" s="32"/>
      <c r="J17" s="33">
        <f>('[1]Group-P&amp;L'!$EL$34+'[1]Group-P&amp;L'!$EL$39)/1000</f>
        <v>15051.67529473646</v>
      </c>
      <c r="K17" s="32"/>
      <c r="L17" s="32">
        <v>5650</v>
      </c>
      <c r="M17" s="49">
        <v>1839</v>
      </c>
    </row>
    <row r="18" spans="2:13" ht="18" customHeight="1">
      <c r="B18" s="27" t="s">
        <v>61</v>
      </c>
      <c r="D18" s="32">
        <f>SUM(D15:D17)</f>
        <v>3832.3161205464257</v>
      </c>
      <c r="E18" s="32"/>
      <c r="F18" s="32">
        <f>SUM(F15:F17)</f>
        <v>4662.143800969645</v>
      </c>
      <c r="G18" s="32"/>
      <c r="H18" s="32">
        <f>SUM(H15:H17)</f>
        <v>28361.316120546428</v>
      </c>
      <c r="I18" s="32"/>
      <c r="J18" s="32">
        <f>SUM(J15:J17)</f>
        <v>10514.143800969645</v>
      </c>
      <c r="K18" s="32"/>
      <c r="L18" s="32">
        <v>24529</v>
      </c>
      <c r="M18" s="49">
        <v>5852</v>
      </c>
    </row>
    <row r="19" spans="2:13" ht="18" customHeight="1">
      <c r="B19" s="27" t="s">
        <v>0</v>
      </c>
      <c r="D19" s="32">
        <f>+H19-L19</f>
        <v>-1126.274472074001</v>
      </c>
      <c r="E19" s="32"/>
      <c r="F19" s="32">
        <f t="shared" si="0"/>
        <v>-2718.9649558600013</v>
      </c>
      <c r="G19" s="32"/>
      <c r="H19" s="32">
        <f>'[1]Group-P&amp;L'!$C$57/1000</f>
        <v>-6803.274472074001</v>
      </c>
      <c r="I19" s="32"/>
      <c r="J19" s="32">
        <f>'[1]Group-P&amp;L'!$EL$57/1000</f>
        <v>-8857.964955860001</v>
      </c>
      <c r="K19" s="32"/>
      <c r="L19" s="32">
        <v>-5677</v>
      </c>
      <c r="M19" s="49">
        <v>-6139</v>
      </c>
    </row>
    <row r="20" spans="2:13" ht="18" customHeight="1">
      <c r="B20" s="27" t="s">
        <v>96</v>
      </c>
      <c r="D20" s="33">
        <f>+H20-L20</f>
        <v>417.59062003141344</v>
      </c>
      <c r="E20" s="32"/>
      <c r="F20" s="33">
        <f t="shared" si="0"/>
        <v>1396.7756168863002</v>
      </c>
      <c r="G20" s="32"/>
      <c r="H20" s="33">
        <f>'[1]Group-P&amp;L'!$C$66/1000</f>
        <v>2069.5906200314134</v>
      </c>
      <c r="I20" s="32"/>
      <c r="J20" s="33">
        <f>'[1]Group-P&amp;L'!$EL$66/1000</f>
        <v>3738.7756168863</v>
      </c>
      <c r="K20" s="32"/>
      <c r="L20" s="32">
        <f>1933-281</f>
        <v>1652</v>
      </c>
      <c r="M20" s="49">
        <v>2342</v>
      </c>
    </row>
    <row r="21" spans="2:13" ht="18" customHeight="1">
      <c r="B21" s="27" t="s">
        <v>67</v>
      </c>
      <c r="D21" s="32">
        <f>SUM(D18:D20)</f>
        <v>3123.632268503838</v>
      </c>
      <c r="E21" s="32"/>
      <c r="F21" s="32">
        <f>SUM(F18:F20)</f>
        <v>3339.954461995944</v>
      </c>
      <c r="G21" s="32"/>
      <c r="H21" s="32">
        <f>SUM(H18:H20)</f>
        <v>23627.63226850384</v>
      </c>
      <c r="I21" s="32"/>
      <c r="J21" s="32">
        <f>SUM(J18:J20)</f>
        <v>5394.954461995943</v>
      </c>
      <c r="K21" s="32"/>
      <c r="L21" s="32">
        <v>20785</v>
      </c>
      <c r="M21" s="49">
        <v>2055</v>
      </c>
    </row>
    <row r="22" spans="2:15" ht="18" customHeight="1">
      <c r="B22" s="27" t="s">
        <v>54</v>
      </c>
      <c r="D22" s="32">
        <f>+H22-L22</f>
        <v>-1069.9698643506526</v>
      </c>
      <c r="E22" s="32"/>
      <c r="F22" s="32">
        <f t="shared" si="0"/>
        <v>-1886.4293322050003</v>
      </c>
      <c r="G22" s="32"/>
      <c r="H22" s="33">
        <f>('[1]Group-P&amp;L'!$C$69+'[1]Group-P&amp;L'!$C$70+'[1]Group-P&amp;L'!$C$71)/1000</f>
        <v>-7304.969864350653</v>
      </c>
      <c r="I22" s="32"/>
      <c r="J22" s="32">
        <f>('[1]Group-P&amp;L'!$EL$69+'[1]Group-P&amp;L'!$EL$70+'[1]Group-P&amp;L'!$EL$71)/1000</f>
        <v>-3359.4293322050003</v>
      </c>
      <c r="K22" s="32"/>
      <c r="L22" s="32">
        <f>-6516+281</f>
        <v>-6235</v>
      </c>
      <c r="M22" s="49">
        <v>-1473</v>
      </c>
      <c r="N22" s="54"/>
      <c r="O22" s="65"/>
    </row>
    <row r="23" spans="2:14" ht="18" customHeight="1" thickBot="1">
      <c r="B23" s="27" t="s">
        <v>97</v>
      </c>
      <c r="D23" s="39">
        <f>SUM(D21:D22)-1</f>
        <v>2052.6624041531854</v>
      </c>
      <c r="E23" s="32"/>
      <c r="F23" s="39">
        <f>SUM(F21:F22)</f>
        <v>1453.5251297909435</v>
      </c>
      <c r="G23" s="32"/>
      <c r="H23" s="39">
        <f>SUM(H21:H22)-1</f>
        <v>16321.662404153187</v>
      </c>
      <c r="I23" s="32"/>
      <c r="J23" s="39">
        <f>SUM(J21:J22)</f>
        <v>2035.525129790943</v>
      </c>
      <c r="K23" s="32"/>
      <c r="L23" s="32">
        <v>14269</v>
      </c>
      <c r="M23" s="49">
        <v>582</v>
      </c>
      <c r="N23" s="65"/>
    </row>
    <row r="24" spans="4:14" ht="18" customHeight="1" thickTop="1">
      <c r="D24" s="54"/>
      <c r="E24" s="32"/>
      <c r="F24" s="32"/>
      <c r="G24" s="32"/>
      <c r="H24" s="54"/>
      <c r="I24" s="32"/>
      <c r="J24" s="32"/>
      <c r="K24" s="32"/>
      <c r="M24" s="49"/>
      <c r="N24" s="54"/>
    </row>
    <row r="25" spans="2:13" ht="18" customHeight="1">
      <c r="B25" s="27" t="s">
        <v>92</v>
      </c>
      <c r="D25" s="32"/>
      <c r="E25" s="32"/>
      <c r="F25" s="32"/>
      <c r="G25" s="32"/>
      <c r="H25" s="32"/>
      <c r="I25" s="32"/>
      <c r="J25" s="32"/>
      <c r="K25" s="32"/>
      <c r="M25" s="49"/>
    </row>
    <row r="26" spans="3:14" ht="18" customHeight="1">
      <c r="C26" s="27" t="s">
        <v>100</v>
      </c>
      <c r="D26" s="32">
        <f>D23-D27</f>
        <v>1648.9182201531858</v>
      </c>
      <c r="E26" s="32"/>
      <c r="F26" s="32">
        <f>J26-M26</f>
        <v>1172.564487790943</v>
      </c>
      <c r="G26" s="32"/>
      <c r="H26" s="32">
        <f>H23-H27</f>
        <v>15800.918220153188</v>
      </c>
      <c r="I26" s="32"/>
      <c r="J26" s="32">
        <f>J23-J27</f>
        <v>1713.564487790943</v>
      </c>
      <c r="K26" s="32"/>
      <c r="L26" s="32">
        <v>14152</v>
      </c>
      <c r="M26" s="49">
        <v>541</v>
      </c>
      <c r="N26" s="65"/>
    </row>
    <row r="27" spans="3:13" ht="18" customHeight="1">
      <c r="C27" s="27" t="s">
        <v>93</v>
      </c>
      <c r="D27" s="32">
        <f>+H27-L27</f>
        <v>403.7441839999998</v>
      </c>
      <c r="E27" s="32"/>
      <c r="F27" s="32">
        <f>J27-M27</f>
        <v>280.9606419999999</v>
      </c>
      <c r="G27" s="32"/>
      <c r="H27" s="32">
        <f>-'[1]Group-P&amp;L'!$C$74/1000</f>
        <v>520.7441839999998</v>
      </c>
      <c r="I27" s="32"/>
      <c r="J27" s="32">
        <f>-'[1]Group-P&amp;L'!$EL$74/1000</f>
        <v>321.9606419999999</v>
      </c>
      <c r="K27" s="32"/>
      <c r="L27" s="32">
        <v>117</v>
      </c>
      <c r="M27" s="49">
        <v>41</v>
      </c>
    </row>
    <row r="28" spans="4:13" ht="18" customHeight="1" thickBot="1">
      <c r="D28" s="39">
        <f>D26+D27</f>
        <v>2052.6624041531854</v>
      </c>
      <c r="E28" s="32"/>
      <c r="F28" s="39">
        <f>SUM(F26:F27)</f>
        <v>1453.525129790943</v>
      </c>
      <c r="G28" s="32"/>
      <c r="H28" s="39">
        <f>H26+H27</f>
        <v>16321.662404153187</v>
      </c>
      <c r="I28" s="32"/>
      <c r="J28" s="39">
        <f>SUM(J26:J27)</f>
        <v>2035.525129790943</v>
      </c>
      <c r="K28" s="32"/>
      <c r="L28" s="32">
        <v>14269</v>
      </c>
      <c r="M28" s="49">
        <v>582</v>
      </c>
    </row>
    <row r="29" spans="4:13" ht="18" customHeight="1" thickTop="1">
      <c r="D29" s="40"/>
      <c r="E29" s="32"/>
      <c r="F29" s="40"/>
      <c r="G29" s="32"/>
      <c r="H29" s="40"/>
      <c r="I29" s="32"/>
      <c r="J29" s="40"/>
      <c r="K29" s="32"/>
      <c r="M29" s="49"/>
    </row>
    <row r="30" spans="4:11" ht="18" customHeight="1">
      <c r="D30" s="40"/>
      <c r="E30" s="32"/>
      <c r="F30" s="40"/>
      <c r="G30" s="32"/>
      <c r="H30" s="40"/>
      <c r="I30" s="32"/>
      <c r="J30" s="40"/>
      <c r="K30" s="32"/>
    </row>
    <row r="31" spans="2:11" ht="18" customHeight="1">
      <c r="B31" s="27" t="s">
        <v>94</v>
      </c>
      <c r="D31" s="32"/>
      <c r="E31" s="32"/>
      <c r="F31" s="32"/>
      <c r="G31" s="32"/>
      <c r="H31" s="32"/>
      <c r="I31" s="32"/>
      <c r="J31" s="32"/>
      <c r="K31" s="32"/>
    </row>
    <row r="32" spans="2:11" ht="18" customHeight="1">
      <c r="B32" s="27" t="s">
        <v>95</v>
      </c>
      <c r="D32" s="35" t="s">
        <v>25</v>
      </c>
      <c r="E32" s="35"/>
      <c r="F32" s="35" t="s">
        <v>25</v>
      </c>
      <c r="G32" s="35"/>
      <c r="H32" s="35" t="s">
        <v>25</v>
      </c>
      <c r="I32" s="35"/>
      <c r="J32" s="35" t="s">
        <v>25</v>
      </c>
      <c r="K32" s="32"/>
    </row>
    <row r="33" ht="18" customHeight="1">
      <c r="K33" s="32"/>
    </row>
    <row r="34" spans="3:11" ht="18" customHeight="1">
      <c r="C34" s="34" t="s">
        <v>76</v>
      </c>
      <c r="D34" s="36">
        <f>D26/'BS'!E34*100</f>
        <v>0.6849971211882675</v>
      </c>
      <c r="E34" s="36"/>
      <c r="F34" s="36">
        <f>F26/'BS'!G34*100</f>
        <v>0.4871092384859288</v>
      </c>
      <c r="G34" s="36"/>
      <c r="H34" s="36">
        <f>H26/'BS'!E34*100</f>
        <v>6.5640511219111035</v>
      </c>
      <c r="I34" s="36"/>
      <c r="J34" s="36">
        <f>J26/'BS'!G34*100</f>
        <v>0.711852611464381</v>
      </c>
      <c r="K34" s="32"/>
    </row>
    <row r="35" spans="3:11" ht="18" customHeight="1">
      <c r="C35" s="34" t="s">
        <v>77</v>
      </c>
      <c r="D35" s="36" t="s">
        <v>84</v>
      </c>
      <c r="E35" s="36"/>
      <c r="F35" s="36" t="s">
        <v>84</v>
      </c>
      <c r="G35" s="36"/>
      <c r="H35" s="36" t="s">
        <v>84</v>
      </c>
      <c r="I35" s="36"/>
      <c r="J35" s="36" t="s">
        <v>84</v>
      </c>
      <c r="K35" s="32"/>
    </row>
    <row r="36" ht="18" customHeight="1">
      <c r="K36" s="32"/>
    </row>
    <row r="37" spans="3:11" ht="18" customHeight="1">
      <c r="C37" s="32"/>
      <c r="D37" s="36"/>
      <c r="E37" s="36"/>
      <c r="F37" s="36"/>
      <c r="G37" s="36"/>
      <c r="H37" s="36"/>
      <c r="I37" s="36"/>
      <c r="J37" s="36"/>
      <c r="K37" s="32"/>
    </row>
    <row r="38" spans="4:11" ht="18.75">
      <c r="D38" s="35"/>
      <c r="E38" s="35"/>
      <c r="F38" s="35"/>
      <c r="G38" s="35"/>
      <c r="H38" s="35"/>
      <c r="I38" s="35"/>
      <c r="J38" s="35"/>
      <c r="K38" s="32"/>
    </row>
    <row r="40" spans="3:4" ht="18.75">
      <c r="C40" s="29" t="s">
        <v>51</v>
      </c>
      <c r="D40" s="29"/>
    </row>
    <row r="41" spans="3:4" ht="18.75">
      <c r="C41" s="29" t="s">
        <v>85</v>
      </c>
      <c r="D41" s="29"/>
    </row>
    <row r="42" spans="2:3" ht="18.75">
      <c r="B42" s="29"/>
      <c r="C42" s="29"/>
    </row>
    <row r="43" spans="2:3" ht="18.75">
      <c r="B43" s="29"/>
      <c r="C43" s="29"/>
    </row>
  </sheetData>
  <mergeCells count="2">
    <mergeCell ref="D7:F7"/>
    <mergeCell ref="H7:J7"/>
  </mergeCells>
  <printOptions/>
  <pageMargins left="0.75" right="0.48" top="0.81" bottom="0.35" header="0.2" footer="0.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="85" zoomScaleNormal="85" workbookViewId="0" topLeftCell="A28">
      <selection activeCell="D14" sqref="D14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8.140625" style="1" customWidth="1"/>
    <col min="6" max="6" width="8.8515625" style="1" customWidth="1"/>
    <col min="7" max="7" width="18.00390625" style="1" customWidth="1"/>
    <col min="8" max="8" width="6.28125" style="1" customWidth="1"/>
    <col min="9" max="9" width="9.140625" style="1" customWidth="1"/>
    <col min="10" max="10" width="5.28125" style="78" hidden="1" customWidth="1"/>
    <col min="11" max="11" width="22.57421875" style="69" hidden="1" customWidth="1"/>
    <col min="12" max="12" width="12.421875" style="79" hidden="1" customWidth="1"/>
    <col min="13" max="13" width="12.28125" style="69" hidden="1" customWidth="1"/>
    <col min="14" max="14" width="9.140625" style="1" hidden="1" customWidth="1"/>
    <col min="15" max="15" width="9.140625" style="1" customWidth="1"/>
    <col min="16" max="16384" width="9.140625" style="1" customWidth="1"/>
  </cols>
  <sheetData>
    <row r="1" ht="15.75">
      <c r="J1" s="68" t="s">
        <v>131</v>
      </c>
    </row>
    <row r="2" spans="1:13" ht="15.75">
      <c r="A2" s="2" t="s">
        <v>14</v>
      </c>
      <c r="B2" s="2"/>
      <c r="C2" s="2"/>
      <c r="D2" s="2"/>
      <c r="E2" s="2"/>
      <c r="F2" s="2"/>
      <c r="G2" s="12"/>
      <c r="J2" s="70" t="s">
        <v>132</v>
      </c>
      <c r="K2" s="71"/>
      <c r="L2" s="1" t="s">
        <v>191</v>
      </c>
      <c r="M2" s="1"/>
    </row>
    <row r="3" spans="1:13" ht="15.75">
      <c r="A3" s="2" t="s">
        <v>23</v>
      </c>
      <c r="B3" s="2"/>
      <c r="C3" s="2"/>
      <c r="D3" s="2"/>
      <c r="E3" s="2"/>
      <c r="F3" s="2"/>
      <c r="J3" s="72">
        <f>'[1]permanent adj'!K3</f>
        <v>0</v>
      </c>
      <c r="K3" s="73"/>
      <c r="L3" s="86" t="s">
        <v>189</v>
      </c>
      <c r="M3" s="87" t="s">
        <v>190</v>
      </c>
    </row>
    <row r="4" spans="1:13" ht="15.75">
      <c r="A4" s="2" t="s">
        <v>129</v>
      </c>
      <c r="B4" s="2"/>
      <c r="C4" s="2"/>
      <c r="D4" s="2"/>
      <c r="E4" s="2"/>
      <c r="F4" s="2"/>
      <c r="J4" s="74" t="s">
        <v>133</v>
      </c>
      <c r="K4" s="75"/>
      <c r="L4" s="88"/>
      <c r="M4" s="89"/>
    </row>
    <row r="5" spans="1:13" ht="15.75">
      <c r="A5" s="10" t="str">
        <f>PL!B5</f>
        <v>The figures have not been audited.</v>
      </c>
      <c r="J5" s="76"/>
      <c r="M5" s="71"/>
    </row>
    <row r="6" spans="5:13" s="3" customFormat="1" ht="15.75">
      <c r="E6" s="3" t="s">
        <v>130</v>
      </c>
      <c r="G6" s="3" t="s">
        <v>78</v>
      </c>
      <c r="J6" s="77"/>
      <c r="K6" s="69"/>
      <c r="L6" s="90"/>
      <c r="M6" s="71"/>
    </row>
    <row r="7" spans="5:7" ht="15.75">
      <c r="E7" s="3" t="s">
        <v>9</v>
      </c>
      <c r="G7" s="3" t="s">
        <v>9</v>
      </c>
    </row>
    <row r="8" spans="2:10" ht="15.75">
      <c r="B8" s="2" t="s">
        <v>113</v>
      </c>
      <c r="G8" s="3"/>
      <c r="J8" s="78" t="s">
        <v>134</v>
      </c>
    </row>
    <row r="9" spans="8:13" ht="15.75">
      <c r="H9" s="5"/>
      <c r="K9" s="69" t="s">
        <v>15</v>
      </c>
      <c r="L9" s="79">
        <v>282682.5129803</v>
      </c>
      <c r="M9" s="69">
        <v>341771.45206099807</v>
      </c>
    </row>
    <row r="10" spans="3:13" ht="15.75">
      <c r="C10" s="1" t="s">
        <v>114</v>
      </c>
      <c r="E10" s="5"/>
      <c r="H10" s="5"/>
      <c r="K10" s="69" t="s">
        <v>135</v>
      </c>
      <c r="L10" s="79">
        <v>138821.42627999999</v>
      </c>
      <c r="M10" s="69">
        <v>146471.42627999999</v>
      </c>
    </row>
    <row r="11" spans="4:13" ht="15.75">
      <c r="D11" s="4" t="s">
        <v>15</v>
      </c>
      <c r="E11" s="5">
        <f>L9-E12</f>
        <v>261682.5129803</v>
      </c>
      <c r="G11" s="5">
        <f>341771-G12</f>
        <v>320771</v>
      </c>
      <c r="H11" s="5"/>
      <c r="K11" s="69" t="s">
        <v>136</v>
      </c>
      <c r="L11" s="79">
        <v>-138821.42868</v>
      </c>
      <c r="M11" s="69">
        <v>-146471.42768</v>
      </c>
    </row>
    <row r="12" spans="4:8" ht="15.75">
      <c r="D12" s="4" t="s">
        <v>237</v>
      </c>
      <c r="E12" s="5">
        <v>21000</v>
      </c>
      <c r="G12" s="5">
        <v>21000</v>
      </c>
      <c r="H12" s="5"/>
    </row>
    <row r="13" spans="4:14" ht="15.75">
      <c r="D13" s="1" t="s">
        <v>221</v>
      </c>
      <c r="E13" s="5">
        <f>L19+250</f>
        <v>11693.09842</v>
      </c>
      <c r="G13" s="5">
        <v>11693</v>
      </c>
      <c r="H13" s="5"/>
      <c r="K13" s="69" t="s">
        <v>137</v>
      </c>
      <c r="L13" s="79">
        <v>21244.17552568076</v>
      </c>
      <c r="M13" s="69">
        <v>30452.602964681304</v>
      </c>
      <c r="N13" s="13">
        <f>G13-E13</f>
        <v>-0.09842000000026019</v>
      </c>
    </row>
    <row r="14" spans="4:13" ht="15.75">
      <c r="D14" s="6" t="s">
        <v>115</v>
      </c>
      <c r="E14" s="5">
        <f>L13</f>
        <v>21244.17552568076</v>
      </c>
      <c r="G14" s="5">
        <v>30418</v>
      </c>
      <c r="H14" s="5"/>
      <c r="K14" s="69" t="s">
        <v>138</v>
      </c>
      <c r="L14" s="79">
        <v>0</v>
      </c>
      <c r="M14" s="69">
        <v>0</v>
      </c>
    </row>
    <row r="15" spans="4:13" ht="15.75">
      <c r="D15" s="1" t="s">
        <v>16</v>
      </c>
      <c r="E15" s="5">
        <f>L18</f>
        <v>12139.87669</v>
      </c>
      <c r="G15" s="5">
        <v>8846</v>
      </c>
      <c r="H15" s="5"/>
      <c r="K15" s="69" t="s">
        <v>139</v>
      </c>
      <c r="L15" s="79">
        <v>47942.70854</v>
      </c>
      <c r="M15" s="69">
        <v>49332.35095000001</v>
      </c>
    </row>
    <row r="16" spans="3:13" ht="15.75">
      <c r="C16" s="1" t="s">
        <v>10</v>
      </c>
      <c r="D16" s="1" t="s">
        <v>69</v>
      </c>
      <c r="E16" s="5">
        <f>-L56</f>
        <v>2596.5469099999996</v>
      </c>
      <c r="G16" s="5">
        <v>2958</v>
      </c>
      <c r="H16" s="5"/>
      <c r="K16" s="69" t="s">
        <v>140</v>
      </c>
      <c r="L16" s="79">
        <v>-28578.3505</v>
      </c>
      <c r="M16" s="69">
        <v>-28566.096</v>
      </c>
    </row>
    <row r="17" spans="5:13" ht="15.75">
      <c r="E17" s="45">
        <f>SUM(E11:E16)</f>
        <v>330356.21052598074</v>
      </c>
      <c r="G17" s="45">
        <f>SUM(G11:G16)</f>
        <v>395686</v>
      </c>
      <c r="H17" s="5"/>
      <c r="K17" s="69" t="s">
        <v>141</v>
      </c>
      <c r="L17" s="79">
        <v>0</v>
      </c>
      <c r="M17" s="69">
        <v>0</v>
      </c>
    </row>
    <row r="18" spans="5:13" ht="15.75">
      <c r="E18" s="5"/>
      <c r="G18" s="5"/>
      <c r="H18" s="5"/>
      <c r="K18" s="69" t="s">
        <v>142</v>
      </c>
      <c r="L18" s="79">
        <v>12139.87669</v>
      </c>
      <c r="M18" s="69">
        <v>8846.53667</v>
      </c>
    </row>
    <row r="19" spans="3:13" ht="15.75">
      <c r="C19" s="14" t="s">
        <v>11</v>
      </c>
      <c r="D19" s="14"/>
      <c r="E19" s="8"/>
      <c r="F19" s="14"/>
      <c r="G19" s="8"/>
      <c r="H19" s="5"/>
      <c r="K19" s="69" t="s">
        <v>143</v>
      </c>
      <c r="L19" s="79">
        <v>11443.09842</v>
      </c>
      <c r="M19" s="69">
        <v>11693.12182</v>
      </c>
    </row>
    <row r="20" spans="3:13" ht="15.75">
      <c r="C20" s="43"/>
      <c r="D20" s="14" t="s">
        <v>17</v>
      </c>
      <c r="E20" s="8">
        <f>L24</f>
        <v>392.15627</v>
      </c>
      <c r="F20" s="14"/>
      <c r="G20" s="8">
        <v>622</v>
      </c>
      <c r="H20" s="5"/>
      <c r="K20" s="69" t="s">
        <v>144</v>
      </c>
      <c r="L20" s="79">
        <v>0</v>
      </c>
      <c r="M20" s="69">
        <v>0</v>
      </c>
    </row>
    <row r="21" spans="3:13" s="14" customFormat="1" ht="15.75">
      <c r="C21" s="43"/>
      <c r="D21" s="14" t="s">
        <v>18</v>
      </c>
      <c r="E21" s="44">
        <f>L25+L26</f>
        <v>86111.82817000001</v>
      </c>
      <c r="G21" s="8">
        <f>85305-2</f>
        <v>85303</v>
      </c>
      <c r="H21" s="8"/>
      <c r="J21" s="78"/>
      <c r="K21" s="69" t="s">
        <v>145</v>
      </c>
      <c r="L21" s="79">
        <v>-0.00010840000000007422</v>
      </c>
      <c r="M21" s="69">
        <v>-0.00010839999999961946</v>
      </c>
    </row>
    <row r="22" spans="3:13" s="14" customFormat="1" ht="15.75">
      <c r="C22" s="43"/>
      <c r="D22" s="14" t="s">
        <v>64</v>
      </c>
      <c r="E22" s="44">
        <f>L15+L16</f>
        <v>19364.35804</v>
      </c>
      <c r="G22" s="8">
        <v>20801</v>
      </c>
      <c r="H22" s="8"/>
      <c r="J22" s="78"/>
      <c r="K22" s="69"/>
      <c r="L22" s="91">
        <v>346874.0191475808</v>
      </c>
      <c r="M22" s="92">
        <v>413529.96695727936</v>
      </c>
    </row>
    <row r="23" spans="3:13" s="14" customFormat="1" ht="15.75">
      <c r="C23" s="43"/>
      <c r="D23" s="14" t="s">
        <v>19</v>
      </c>
      <c r="E23" s="44">
        <f>L27</f>
        <v>37675.6736475</v>
      </c>
      <c r="G23" s="8">
        <f>41902+3179+3398+2</f>
        <v>48481</v>
      </c>
      <c r="H23" s="8"/>
      <c r="J23" s="78" t="s">
        <v>146</v>
      </c>
      <c r="K23" s="69"/>
      <c r="L23" s="79"/>
      <c r="M23" s="69"/>
    </row>
    <row r="24" spans="3:13" s="14" customFormat="1" ht="15.75">
      <c r="C24" s="43"/>
      <c r="D24" s="14" t="s">
        <v>68</v>
      </c>
      <c r="E24" s="8">
        <f>L32</f>
        <v>6102.547234444444</v>
      </c>
      <c r="G24" s="8">
        <v>5844</v>
      </c>
      <c r="H24" s="8"/>
      <c r="J24" s="78"/>
      <c r="K24" s="69" t="s">
        <v>147</v>
      </c>
      <c r="L24" s="79">
        <v>392.15627</v>
      </c>
      <c r="M24" s="69">
        <v>622.3147368000001</v>
      </c>
    </row>
    <row r="25" spans="3:13" s="14" customFormat="1" ht="15.75">
      <c r="C25" s="43"/>
      <c r="D25" s="14" t="s">
        <v>47</v>
      </c>
      <c r="E25" s="8">
        <f>L34+L33</f>
        <v>25822.260004393</v>
      </c>
      <c r="G25" s="8">
        <v>30406</v>
      </c>
      <c r="H25" s="8"/>
      <c r="J25" s="78"/>
      <c r="K25" s="69" t="s">
        <v>18</v>
      </c>
      <c r="L25" s="79">
        <v>128483.88076000001</v>
      </c>
      <c r="M25" s="69">
        <v>126613.12095379602</v>
      </c>
    </row>
    <row r="26" spans="5:13" s="14" customFormat="1" ht="15.75">
      <c r="E26" s="45">
        <f>SUM(E20:E25)</f>
        <v>175468.82336633746</v>
      </c>
      <c r="G26" s="45">
        <f>SUM(G20:G25)</f>
        <v>191457</v>
      </c>
      <c r="H26" s="8"/>
      <c r="J26" s="78"/>
      <c r="K26" s="69" t="s">
        <v>148</v>
      </c>
      <c r="L26" s="79">
        <v>-42372.05259000001</v>
      </c>
      <c r="M26" s="69">
        <v>-41307.909850000004</v>
      </c>
    </row>
    <row r="27" spans="7:13" s="14" customFormat="1" ht="15.75">
      <c r="G27" s="46"/>
      <c r="H27" s="8"/>
      <c r="J27" s="78"/>
      <c r="K27" s="69" t="s">
        <v>19</v>
      </c>
      <c r="L27" s="79">
        <v>37675.6736475</v>
      </c>
      <c r="M27" s="69">
        <v>48479.109030691</v>
      </c>
    </row>
    <row r="28" spans="2:13" s="14" customFormat="1" ht="16.5" thickBot="1">
      <c r="B28" s="14" t="s">
        <v>116</v>
      </c>
      <c r="E28" s="47">
        <f>E17+E26</f>
        <v>505825.0338923182</v>
      </c>
      <c r="G28" s="47">
        <f>G17+G26</f>
        <v>587143</v>
      </c>
      <c r="H28" s="8"/>
      <c r="J28" s="79"/>
      <c r="K28" s="80" t="s">
        <v>149</v>
      </c>
      <c r="L28" s="79">
        <v>0</v>
      </c>
      <c r="M28" s="69">
        <v>0</v>
      </c>
    </row>
    <row r="29" spans="8:13" s="14" customFormat="1" ht="15.75">
      <c r="H29" s="8"/>
      <c r="J29" s="79"/>
      <c r="K29" s="80" t="s">
        <v>150</v>
      </c>
      <c r="L29" s="79">
        <v>0</v>
      </c>
      <c r="M29" s="69">
        <v>0</v>
      </c>
    </row>
    <row r="30" spans="2:13" ht="15.75">
      <c r="B30" s="2" t="s">
        <v>108</v>
      </c>
      <c r="E30" s="5"/>
      <c r="G30" s="5"/>
      <c r="H30" s="5"/>
      <c r="J30" s="79"/>
      <c r="K30" s="80" t="s">
        <v>151</v>
      </c>
      <c r="L30" s="79">
        <v>0</v>
      </c>
      <c r="M30" s="69">
        <v>0</v>
      </c>
    </row>
    <row r="31" spans="2:13" ht="15.75">
      <c r="B31" s="2"/>
      <c r="E31" s="5"/>
      <c r="G31" s="5"/>
      <c r="H31" s="5"/>
      <c r="J31" s="79"/>
      <c r="K31" s="80" t="s">
        <v>152</v>
      </c>
      <c r="L31" s="79">
        <v>0</v>
      </c>
      <c r="M31" s="69">
        <v>0</v>
      </c>
    </row>
    <row r="32" spans="3:13" ht="15.75">
      <c r="C32" s="1" t="s">
        <v>118</v>
      </c>
      <c r="E32" s="5"/>
      <c r="G32" s="5"/>
      <c r="H32" s="5"/>
      <c r="K32" s="81" t="s">
        <v>68</v>
      </c>
      <c r="L32" s="79">
        <v>6102.547234444444</v>
      </c>
      <c r="M32" s="69">
        <v>5844.03391</v>
      </c>
    </row>
    <row r="33" spans="3:13" ht="15.75">
      <c r="C33" s="1" t="s">
        <v>119</v>
      </c>
      <c r="E33" s="5"/>
      <c r="G33" s="5"/>
      <c r="H33" s="5"/>
      <c r="K33" s="69" t="s">
        <v>153</v>
      </c>
      <c r="L33" s="79">
        <v>8203.516160000001</v>
      </c>
      <c r="M33" s="69">
        <v>5942.59731</v>
      </c>
    </row>
    <row r="34" spans="4:13" ht="15.75">
      <c r="D34" s="1" t="s">
        <v>12</v>
      </c>
      <c r="E34" s="5">
        <f>'Chg in equity'!D39</f>
        <v>240719</v>
      </c>
      <c r="G34" s="5">
        <v>240719</v>
      </c>
      <c r="H34" s="5"/>
      <c r="K34" s="69" t="s">
        <v>154</v>
      </c>
      <c r="L34" s="79">
        <v>17618.743844393</v>
      </c>
      <c r="M34" s="69">
        <v>24463.616018709</v>
      </c>
    </row>
    <row r="35" spans="4:13" ht="15.75">
      <c r="D35" s="1" t="s">
        <v>122</v>
      </c>
      <c r="E35" s="5">
        <f>'Chg in equity'!E39</f>
        <v>74485</v>
      </c>
      <c r="G35" s="5">
        <v>74485</v>
      </c>
      <c r="H35" s="5"/>
      <c r="L35" s="91">
        <v>156104.46532633746</v>
      </c>
      <c r="M35" s="92">
        <v>170656.88210999605</v>
      </c>
    </row>
    <row r="36" spans="4:10" ht="15.75">
      <c r="D36" s="1" t="s">
        <v>121</v>
      </c>
      <c r="E36" s="5">
        <f>'Chg in equity'!F39</f>
        <v>-4058.2083995671264</v>
      </c>
      <c r="G36" s="5">
        <v>-4840</v>
      </c>
      <c r="H36" s="5"/>
      <c r="J36" s="78" t="s">
        <v>155</v>
      </c>
    </row>
    <row r="37" spans="4:8" ht="15.75">
      <c r="D37" s="1" t="s">
        <v>106</v>
      </c>
      <c r="E37" s="9">
        <f>'Chg in equity'!G39</f>
        <v>14074.918220153188</v>
      </c>
      <c r="G37" s="9">
        <v>3474</v>
      </c>
      <c r="H37" s="5"/>
    </row>
    <row r="38" spans="3:13" ht="15.75">
      <c r="C38" s="7"/>
      <c r="E38" s="5">
        <f>SUM(E34:E37)</f>
        <v>325220.7098205861</v>
      </c>
      <c r="G38" s="5">
        <f>SUM(G34:G37)</f>
        <v>313838</v>
      </c>
      <c r="H38" s="5"/>
      <c r="K38" s="69" t="s">
        <v>20</v>
      </c>
      <c r="L38" s="79">
        <v>29699.122819999997</v>
      </c>
      <c r="M38" s="69">
        <v>47354.650837769994</v>
      </c>
    </row>
    <row r="39" spans="3:13" ht="15.75">
      <c r="C39" s="1" t="s">
        <v>13</v>
      </c>
      <c r="E39" s="9">
        <f>'Chg in equity'!H39</f>
        <v>-1565.666216</v>
      </c>
      <c r="G39" s="9">
        <v>-2370</v>
      </c>
      <c r="H39" s="5"/>
      <c r="K39" s="69" t="s">
        <v>21</v>
      </c>
      <c r="L39" s="79">
        <v>54524.02654299298</v>
      </c>
      <c r="M39" s="69">
        <v>82267.213431671</v>
      </c>
    </row>
    <row r="40" spans="3:13" ht="15.75">
      <c r="C40" s="1" t="s">
        <v>107</v>
      </c>
      <c r="E40" s="41">
        <f>SUM(E38:E39)</f>
        <v>323655.0436045861</v>
      </c>
      <c r="G40" s="41">
        <f>SUM(G38:G39)</f>
        <v>311468</v>
      </c>
      <c r="H40" s="5"/>
      <c r="J40" s="79"/>
      <c r="K40" s="80" t="s">
        <v>156</v>
      </c>
      <c r="L40" s="79">
        <v>0</v>
      </c>
      <c r="M40" s="69">
        <v>88.088</v>
      </c>
    </row>
    <row r="41" spans="5:13" ht="15.75">
      <c r="E41" s="5"/>
      <c r="G41" s="5"/>
      <c r="H41" s="5"/>
      <c r="J41" s="79"/>
      <c r="K41" s="80" t="s">
        <v>157</v>
      </c>
      <c r="L41" s="79">
        <v>0</v>
      </c>
      <c r="M41" s="69">
        <v>0</v>
      </c>
    </row>
    <row r="42" spans="2:13" ht="15.75">
      <c r="B42" s="2" t="s">
        <v>109</v>
      </c>
      <c r="E42" s="5"/>
      <c r="G42" s="5"/>
      <c r="H42" s="5"/>
      <c r="J42" s="79"/>
      <c r="K42" s="80" t="s">
        <v>158</v>
      </c>
      <c r="L42" s="79">
        <v>0</v>
      </c>
      <c r="M42" s="69">
        <v>0</v>
      </c>
    </row>
    <row r="43" spans="2:13" ht="15.75">
      <c r="B43" s="2"/>
      <c r="E43" s="5"/>
      <c r="G43" s="5"/>
      <c r="H43" s="5"/>
      <c r="J43" s="79"/>
      <c r="K43" s="80" t="s">
        <v>159</v>
      </c>
      <c r="L43" s="79">
        <v>0</v>
      </c>
      <c r="M43" s="69">
        <v>0</v>
      </c>
    </row>
    <row r="44" spans="3:13" ht="15.75">
      <c r="C44" s="1" t="s">
        <v>110</v>
      </c>
      <c r="E44" s="5"/>
      <c r="G44" s="5"/>
      <c r="H44" s="5"/>
      <c r="J44" s="79"/>
      <c r="K44" s="82" t="s">
        <v>160</v>
      </c>
      <c r="L44" s="79">
        <v>0</v>
      </c>
      <c r="M44" s="69">
        <v>0</v>
      </c>
    </row>
    <row r="45" spans="4:13" ht="15.75">
      <c r="D45" s="1" t="s">
        <v>58</v>
      </c>
      <c r="E45" s="5">
        <f>L57+L58</f>
        <v>30970.203999999998</v>
      </c>
      <c r="F45" s="5"/>
      <c r="G45" s="5">
        <v>52488</v>
      </c>
      <c r="K45" s="69" t="s">
        <v>58</v>
      </c>
      <c r="L45" s="79">
        <v>33417.83591</v>
      </c>
      <c r="M45" s="69">
        <v>50465.688290000006</v>
      </c>
    </row>
    <row r="46" spans="4:13" ht="15.75">
      <c r="D46" s="1" t="s">
        <v>22</v>
      </c>
      <c r="E46" s="5">
        <f>L54</f>
        <v>1753.1633599999998</v>
      </c>
      <c r="G46" s="5">
        <v>1888</v>
      </c>
      <c r="H46" s="5"/>
      <c r="K46" s="69" t="s">
        <v>161</v>
      </c>
      <c r="L46" s="79">
        <v>4339.08801</v>
      </c>
      <c r="M46" s="69">
        <v>4629.78088</v>
      </c>
    </row>
    <row r="47" spans="4:13" ht="15.75">
      <c r="D47" s="1" t="s">
        <v>59</v>
      </c>
      <c r="E47" s="5">
        <f>L55</f>
        <v>5486.955</v>
      </c>
      <c r="G47" s="5">
        <v>5532</v>
      </c>
      <c r="H47" s="5"/>
      <c r="K47" s="69" t="s">
        <v>49</v>
      </c>
      <c r="L47" s="79">
        <v>21581.8021</v>
      </c>
      <c r="M47" s="69">
        <v>28815.284640000005</v>
      </c>
    </row>
    <row r="48" spans="5:13" ht="15.75">
      <c r="E48" s="41">
        <f>SUM(E45:E47)</f>
        <v>38210.32236</v>
      </c>
      <c r="G48" s="41">
        <f>SUM(G45:G47)</f>
        <v>59908</v>
      </c>
      <c r="H48" s="5"/>
      <c r="K48" s="69" t="s">
        <v>54</v>
      </c>
      <c r="L48" s="79">
        <v>146.62157999999997</v>
      </c>
      <c r="M48" s="69">
        <v>2147.52633015</v>
      </c>
    </row>
    <row r="49" spans="5:13" ht="15.75">
      <c r="E49" s="5"/>
      <c r="G49" s="5"/>
      <c r="H49" s="5"/>
      <c r="K49" s="69" t="s">
        <v>162</v>
      </c>
      <c r="L49" s="79">
        <v>0</v>
      </c>
      <c r="M49" s="69">
        <v>0</v>
      </c>
    </row>
    <row r="50" spans="3:13" ht="15.75">
      <c r="C50" s="1" t="s">
        <v>111</v>
      </c>
      <c r="E50" s="5"/>
      <c r="G50" s="8"/>
      <c r="H50" s="5"/>
      <c r="L50" s="91">
        <v>143708.496962993</v>
      </c>
      <c r="M50" s="92">
        <v>215768.232409591</v>
      </c>
    </row>
    <row r="51" spans="4:13" ht="16.5" thickBot="1">
      <c r="D51" s="1" t="s">
        <v>20</v>
      </c>
      <c r="E51" s="5">
        <f>L38</f>
        <v>29699.122819999997</v>
      </c>
      <c r="G51" s="8">
        <v>47355</v>
      </c>
      <c r="H51" s="5"/>
      <c r="J51" s="78" t="s">
        <v>163</v>
      </c>
      <c r="L51" s="93">
        <v>12395.968363344466</v>
      </c>
      <c r="M51" s="94">
        <v>-45111.35029959495</v>
      </c>
    </row>
    <row r="52" spans="4:8" ht="16.5" thickTop="1">
      <c r="D52" s="1" t="s">
        <v>21</v>
      </c>
      <c r="E52" s="5">
        <f>L39+1+250</f>
        <v>54775.02654299298</v>
      </c>
      <c r="G52" s="8">
        <f>82138+129+88</f>
        <v>82355</v>
      </c>
      <c r="H52" s="5"/>
    </row>
    <row r="53" spans="4:10" ht="15.75">
      <c r="D53" s="1" t="s">
        <v>58</v>
      </c>
      <c r="E53" s="5">
        <f>L45+L46+L47</f>
        <v>59338.72602</v>
      </c>
      <c r="G53" s="8">
        <f>28815+55095</f>
        <v>83910</v>
      </c>
      <c r="H53" s="5"/>
      <c r="J53" s="78" t="s">
        <v>164</v>
      </c>
    </row>
    <row r="54" spans="4:13" ht="15.75">
      <c r="D54" s="1" t="s">
        <v>70</v>
      </c>
      <c r="E54" s="5">
        <f>L48</f>
        <v>146.62157999999997</v>
      </c>
      <c r="G54" s="8">
        <v>2147</v>
      </c>
      <c r="H54" s="5"/>
      <c r="K54" s="69" t="s">
        <v>22</v>
      </c>
      <c r="L54" s="79">
        <v>1753.1633599999998</v>
      </c>
      <c r="M54" s="69">
        <v>1887.9178100000001</v>
      </c>
    </row>
    <row r="55" spans="5:13" ht="15.75">
      <c r="E55" s="41">
        <f>SUM(E51:E54)+1</f>
        <v>143960.49696299297</v>
      </c>
      <c r="G55" s="41">
        <f>SUM(G51:G54)</f>
        <v>215767</v>
      </c>
      <c r="H55" s="5"/>
      <c r="K55" s="69" t="s">
        <v>165</v>
      </c>
      <c r="L55" s="79">
        <v>5486.955</v>
      </c>
      <c r="M55" s="69">
        <v>5531.931</v>
      </c>
    </row>
    <row r="56" spans="3:13" ht="15.75">
      <c r="C56" s="1" t="s">
        <v>117</v>
      </c>
      <c r="E56" s="41">
        <f>E55+E48-1</f>
        <v>182169.81932299296</v>
      </c>
      <c r="G56" s="41">
        <f>G55+G48</f>
        <v>275675</v>
      </c>
      <c r="H56" s="5"/>
      <c r="K56" s="69" t="s">
        <v>166</v>
      </c>
      <c r="L56" s="79">
        <v>-2596.5469099999996</v>
      </c>
      <c r="M56" s="69">
        <v>-2957.99759</v>
      </c>
    </row>
    <row r="57" spans="5:13" ht="15.75">
      <c r="E57" s="5"/>
      <c r="G57" s="5"/>
      <c r="H57" s="5"/>
      <c r="K57" s="69" t="s">
        <v>58</v>
      </c>
      <c r="L57" s="79">
        <v>16036.028</v>
      </c>
      <c r="M57" s="69">
        <v>52405.283</v>
      </c>
    </row>
    <row r="58" spans="2:13" ht="16.5" thickBot="1">
      <c r="B58" s="1" t="s">
        <v>112</v>
      </c>
      <c r="E58" s="42">
        <f>E56+E40</f>
        <v>505824.8629275791</v>
      </c>
      <c r="G58" s="42">
        <f>G56+G40</f>
        <v>587143</v>
      </c>
      <c r="H58" s="5"/>
      <c r="K58" s="69" t="s">
        <v>161</v>
      </c>
      <c r="L58" s="79">
        <v>14934.176</v>
      </c>
      <c r="M58" s="69">
        <v>82.901</v>
      </c>
    </row>
    <row r="59" spans="5:13" ht="15.75">
      <c r="E59" s="5"/>
      <c r="G59" s="13"/>
      <c r="H59" s="5"/>
      <c r="L59" s="79">
        <v>0</v>
      </c>
      <c r="M59" s="69">
        <v>0</v>
      </c>
    </row>
    <row r="60" spans="3:13" ht="15.75">
      <c r="C60" s="1" t="s">
        <v>91</v>
      </c>
      <c r="E60" s="38">
        <f>E38/E34</f>
        <v>1.3510388038359502</v>
      </c>
      <c r="F60" s="38"/>
      <c r="G60" s="38">
        <f>G38/G34</f>
        <v>1.3037525081111172</v>
      </c>
      <c r="H60" s="5"/>
      <c r="L60" s="79">
        <v>35613.77545</v>
      </c>
      <c r="M60" s="69">
        <v>56950.03522</v>
      </c>
    </row>
    <row r="61" spans="3:13" ht="16.5" thickBot="1">
      <c r="C61" s="1" t="s">
        <v>90</v>
      </c>
      <c r="G61" s="5"/>
      <c r="H61" s="5"/>
      <c r="L61" s="95">
        <v>323656.21206092526</v>
      </c>
      <c r="M61" s="96">
        <v>311468.5814376844</v>
      </c>
    </row>
    <row r="62" spans="5:8" ht="16.5" thickTop="1">
      <c r="E62" s="13"/>
      <c r="G62" s="5"/>
      <c r="H62" s="5"/>
    </row>
    <row r="63" spans="5:10" ht="15.75">
      <c r="E63" s="13"/>
      <c r="G63" s="5"/>
      <c r="H63" s="5"/>
      <c r="J63" s="78" t="s">
        <v>167</v>
      </c>
    </row>
    <row r="64" spans="3:13" ht="15.75">
      <c r="C64" s="10" t="s">
        <v>50</v>
      </c>
      <c r="G64" s="5"/>
      <c r="H64" s="5"/>
      <c r="K64" s="69" t="s">
        <v>168</v>
      </c>
      <c r="L64" s="79">
        <v>240718.82924000002</v>
      </c>
      <c r="M64" s="69">
        <v>240718.829</v>
      </c>
    </row>
    <row r="65" spans="3:13" ht="15.75">
      <c r="C65" s="10" t="s">
        <v>85</v>
      </c>
      <c r="G65" s="5"/>
      <c r="H65" s="5"/>
      <c r="K65" s="69" t="s">
        <v>169</v>
      </c>
      <c r="L65" s="79">
        <v>74484.78721</v>
      </c>
      <c r="M65" s="69">
        <v>74484.78721</v>
      </c>
    </row>
    <row r="66" spans="7:13" ht="15.75">
      <c r="G66" s="5"/>
      <c r="H66" s="5"/>
      <c r="K66" s="69" t="s">
        <v>170</v>
      </c>
      <c r="L66" s="79">
        <v>-4087.1613715671265</v>
      </c>
      <c r="M66" s="69">
        <v>-4868.559067654697</v>
      </c>
    </row>
    <row r="67" spans="7:13" ht="15.75">
      <c r="G67" s="5"/>
      <c r="H67" s="5"/>
      <c r="K67" s="69" t="s">
        <v>171</v>
      </c>
      <c r="L67" s="79">
        <v>28.952972000000067</v>
      </c>
      <c r="M67" s="69">
        <v>28.913</v>
      </c>
    </row>
    <row r="68" spans="7:13" ht="15.75">
      <c r="G68" s="5"/>
      <c r="H68" s="5"/>
      <c r="K68" s="69" t="s">
        <v>172</v>
      </c>
      <c r="L68" s="79">
        <v>15800.918220153211</v>
      </c>
      <c r="M68" s="69">
        <v>1713.5647336508353</v>
      </c>
    </row>
    <row r="69" spans="7:13" ht="15.75">
      <c r="G69" s="5"/>
      <c r="H69" s="5"/>
      <c r="K69" s="69" t="s">
        <v>173</v>
      </c>
      <c r="L69" s="97">
        <v>3475.076767023314</v>
      </c>
      <c r="M69" s="98">
        <v>2628.0996665296557</v>
      </c>
    </row>
    <row r="70" spans="7:13" ht="15.75">
      <c r="G70" s="5"/>
      <c r="H70" s="5"/>
      <c r="K70" s="69" t="s">
        <v>174</v>
      </c>
      <c r="L70" s="79">
        <v>330421.4030376094</v>
      </c>
      <c r="M70" s="69">
        <v>314705.6345425258</v>
      </c>
    </row>
    <row r="71" spans="7:13" ht="15.75">
      <c r="G71" s="5"/>
      <c r="H71" s="5"/>
      <c r="K71" s="69" t="s">
        <v>175</v>
      </c>
      <c r="L71" s="79">
        <v>-1565.666216</v>
      </c>
      <c r="M71" s="69">
        <v>-2370.465358</v>
      </c>
    </row>
    <row r="72" spans="7:13" ht="15.75">
      <c r="G72" s="5"/>
      <c r="H72" s="5"/>
      <c r="K72" s="69" t="s">
        <v>176</v>
      </c>
      <c r="L72" s="97">
        <v>-5199.526290000001</v>
      </c>
      <c r="M72" s="69">
        <v>-866.58785</v>
      </c>
    </row>
    <row r="73" spans="7:13" ht="16.5" thickBot="1">
      <c r="G73" s="5"/>
      <c r="H73" s="5"/>
      <c r="L73" s="95">
        <v>323656.2105316094</v>
      </c>
      <c r="M73" s="96">
        <v>311468.5813345258</v>
      </c>
    </row>
    <row r="74" spans="7:13" ht="16.5" thickTop="1">
      <c r="G74" s="5"/>
      <c r="H74" s="5"/>
      <c r="J74" s="83"/>
      <c r="K74" s="69" t="s">
        <v>177</v>
      </c>
      <c r="L74" s="99">
        <v>-0.0015293158357962966</v>
      </c>
      <c r="M74" s="100">
        <v>-0.00010315864346921444</v>
      </c>
    </row>
    <row r="75" spans="7:8" ht="15.75">
      <c r="G75" s="5"/>
      <c r="H75" s="5"/>
    </row>
    <row r="76" spans="7:11" ht="15.75">
      <c r="G76" s="5"/>
      <c r="H76" s="5"/>
      <c r="K76" s="69" t="s">
        <v>178</v>
      </c>
    </row>
    <row r="77" spans="7:11" ht="15.75">
      <c r="G77" s="5"/>
      <c r="H77" s="5"/>
      <c r="K77" s="69" t="s">
        <v>179</v>
      </c>
    </row>
    <row r="78" spans="7:8" ht="15.75">
      <c r="G78" s="5"/>
      <c r="H78" s="5"/>
    </row>
    <row r="79" spans="7:8" ht="15.75">
      <c r="G79" s="5"/>
      <c r="H79" s="5"/>
    </row>
    <row r="80" spans="7:11" ht="15.75">
      <c r="G80" s="5"/>
      <c r="H80" s="5"/>
      <c r="K80" s="84" t="s">
        <v>180</v>
      </c>
    </row>
    <row r="81" spans="7:11" ht="15.75">
      <c r="G81" s="5"/>
      <c r="H81" s="5"/>
      <c r="K81" s="84" t="s">
        <v>181</v>
      </c>
    </row>
    <row r="82" spans="7:11" ht="15.75">
      <c r="G82" s="5"/>
      <c r="H82" s="5"/>
      <c r="K82" s="84" t="s">
        <v>182</v>
      </c>
    </row>
    <row r="83" spans="7:11" ht="15.75">
      <c r="G83" s="5"/>
      <c r="H83" s="5"/>
      <c r="K83" s="85"/>
    </row>
    <row r="84" spans="7:11" ht="15.75">
      <c r="G84" s="5"/>
      <c r="H84" s="5"/>
      <c r="K84" s="85" t="s">
        <v>183</v>
      </c>
    </row>
    <row r="85" spans="7:11" ht="15.75">
      <c r="G85" s="5"/>
      <c r="H85" s="5"/>
      <c r="K85" s="85" t="s">
        <v>184</v>
      </c>
    </row>
    <row r="86" spans="7:11" ht="15.75">
      <c r="G86" s="5"/>
      <c r="H86" s="5"/>
      <c r="K86" s="85" t="s">
        <v>185</v>
      </c>
    </row>
    <row r="87" spans="7:11" ht="15.75">
      <c r="G87" s="5"/>
      <c r="H87" s="5"/>
      <c r="K87" s="85" t="s">
        <v>186</v>
      </c>
    </row>
    <row r="88" spans="7:11" ht="15.75">
      <c r="G88" s="5"/>
      <c r="H88" s="5"/>
      <c r="K88" s="85" t="s">
        <v>187</v>
      </c>
    </row>
    <row r="89" spans="7:8" ht="15.75">
      <c r="G89" s="5"/>
      <c r="H89" s="5"/>
    </row>
    <row r="90" spans="7:11" ht="15.75">
      <c r="G90" s="5"/>
      <c r="H90" s="5"/>
      <c r="K90" s="69" t="s">
        <v>188</v>
      </c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  <row r="131" spans="7:8" ht="15.75">
      <c r="G131" s="5"/>
      <c r="H131" s="5"/>
    </row>
  </sheetData>
  <printOptions/>
  <pageMargins left="0.86" right="0.22" top="0.36" bottom="0.38" header="0.25" footer="0.1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zoomScale="75" zoomScaleNormal="75" workbookViewId="0" topLeftCell="A13">
      <selection activeCell="Q34" sqref="Q34"/>
    </sheetView>
  </sheetViews>
  <sheetFormatPr defaultColWidth="9.140625" defaultRowHeight="12.75"/>
  <cols>
    <col min="1" max="2" width="2.421875" style="1" customWidth="1"/>
    <col min="3" max="3" width="37.28125" style="1" customWidth="1"/>
    <col min="4" max="4" width="11.7109375" style="1" customWidth="1"/>
    <col min="5" max="5" width="11.421875" style="1" customWidth="1"/>
    <col min="6" max="6" width="12.8515625" style="1" customWidth="1"/>
    <col min="7" max="7" width="11.57421875" style="1" customWidth="1"/>
    <col min="8" max="8" width="16.57421875" style="1" customWidth="1"/>
    <col min="9" max="9" width="14.28125" style="1" customWidth="1"/>
    <col min="10" max="10" width="9.140625" style="1" customWidth="1"/>
    <col min="11" max="11" width="4.57421875" style="1" hidden="1" customWidth="1"/>
    <col min="12" max="12" width="25.00390625" style="1" hidden="1" customWidth="1"/>
    <col min="13" max="14" width="10.28125" style="1" hidden="1" customWidth="1"/>
    <col min="15" max="15" width="0" style="1" hidden="1" customWidth="1"/>
    <col min="16" max="16384" width="9.140625" style="1" customWidth="1"/>
  </cols>
  <sheetData>
    <row r="1" spans="2:9" ht="15.75">
      <c r="B1" s="2" t="s">
        <v>14</v>
      </c>
      <c r="C1" s="2"/>
      <c r="I1" s="12"/>
    </row>
    <row r="2" spans="2:3" ht="15.75">
      <c r="B2" s="2" t="s">
        <v>26</v>
      </c>
      <c r="C2" s="2"/>
    </row>
    <row r="3" spans="2:3" ht="15.75">
      <c r="B3" s="2" t="s">
        <v>194</v>
      </c>
      <c r="C3" s="2"/>
    </row>
    <row r="4" ht="15.75">
      <c r="B4" s="10" t="str">
        <f>PL!B5</f>
        <v>The figures have not been audited.</v>
      </c>
    </row>
    <row r="7" spans="4:9" ht="15.75">
      <c r="D7" s="144" t="s">
        <v>101</v>
      </c>
      <c r="E7" s="144"/>
      <c r="F7" s="144"/>
      <c r="G7" s="144"/>
      <c r="H7" s="3" t="s">
        <v>93</v>
      </c>
      <c r="I7" s="3" t="s">
        <v>103</v>
      </c>
    </row>
    <row r="8" spans="4:7" s="3" customFormat="1" ht="15.75">
      <c r="D8" s="3" t="s">
        <v>27</v>
      </c>
      <c r="E8" s="3" t="s">
        <v>27</v>
      </c>
      <c r="F8" s="3" t="s">
        <v>102</v>
      </c>
      <c r="G8" s="3" t="s">
        <v>31</v>
      </c>
    </row>
    <row r="9" spans="4:7" s="3" customFormat="1" ht="15.75">
      <c r="D9" s="3" t="s">
        <v>28</v>
      </c>
      <c r="E9" s="3" t="s">
        <v>29</v>
      </c>
      <c r="F9" s="3" t="s">
        <v>30</v>
      </c>
      <c r="G9" s="3" t="s">
        <v>32</v>
      </c>
    </row>
    <row r="10" spans="4:9" s="3" customFormat="1" ht="15.75">
      <c r="D10" s="3" t="s">
        <v>9</v>
      </c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</row>
    <row r="12" spans="2:9" s="5" customFormat="1" ht="17.25" customHeight="1">
      <c r="B12" s="37" t="s">
        <v>60</v>
      </c>
      <c r="D12" s="5">
        <v>190719</v>
      </c>
      <c r="E12" s="5">
        <v>70945</v>
      </c>
      <c r="F12" s="5">
        <v>-1887</v>
      </c>
      <c r="G12" s="5">
        <v>2627</v>
      </c>
      <c r="H12" s="5">
        <v>-2692</v>
      </c>
      <c r="I12" s="8">
        <f>SUM(D12:H12)</f>
        <v>259712</v>
      </c>
    </row>
    <row r="13" spans="2:9" s="5" customFormat="1" ht="17.25" customHeight="1">
      <c r="B13" s="37"/>
      <c r="I13" s="8"/>
    </row>
    <row r="14" spans="2:10" ht="17.25" customHeight="1">
      <c r="B14" s="14" t="s">
        <v>33</v>
      </c>
      <c r="C14" s="14"/>
      <c r="D14" s="8">
        <v>0</v>
      </c>
      <c r="E14" s="8">
        <v>0</v>
      </c>
      <c r="F14" s="8">
        <v>-2953</v>
      </c>
      <c r="G14" s="8">
        <v>0</v>
      </c>
      <c r="H14" s="8">
        <v>0</v>
      </c>
      <c r="I14" s="8">
        <f>SUM(D14:H14)</f>
        <v>-2953</v>
      </c>
      <c r="J14" s="5"/>
    </row>
    <row r="15" spans="2:10" ht="17.25" customHeight="1">
      <c r="B15" s="14"/>
      <c r="C15" s="14"/>
      <c r="D15" s="8"/>
      <c r="E15" s="8"/>
      <c r="F15" s="8"/>
      <c r="G15" s="8"/>
      <c r="H15" s="8"/>
      <c r="I15" s="8"/>
      <c r="J15" s="5"/>
    </row>
    <row r="16" spans="2:10" ht="17.25" customHeight="1">
      <c r="B16" s="14" t="s">
        <v>71</v>
      </c>
      <c r="C16" s="14"/>
      <c r="D16" s="8"/>
      <c r="E16" s="8"/>
      <c r="F16" s="8"/>
      <c r="G16" s="8"/>
      <c r="H16" s="8"/>
      <c r="I16" s="8"/>
      <c r="J16" s="5"/>
    </row>
    <row r="17" spans="2:10" ht="17.25" customHeight="1">
      <c r="B17" s="1" t="s">
        <v>65</v>
      </c>
      <c r="C17" s="14" t="s">
        <v>104</v>
      </c>
      <c r="J17" s="5"/>
    </row>
    <row r="18" spans="2:10" ht="17.25" customHeight="1">
      <c r="B18" s="14"/>
      <c r="C18" s="14" t="s">
        <v>105</v>
      </c>
      <c r="D18" s="8">
        <v>50000</v>
      </c>
      <c r="E18" s="8">
        <v>3540</v>
      </c>
      <c r="F18" s="8">
        <v>0</v>
      </c>
      <c r="G18" s="8">
        <v>0</v>
      </c>
      <c r="H18" s="8">
        <v>0</v>
      </c>
      <c r="I18" s="8">
        <f>SUM(D18:H18)</f>
        <v>53540</v>
      </c>
      <c r="J18" s="5"/>
    </row>
    <row r="19" spans="2:10" ht="17.25" customHeight="1">
      <c r="B19" s="14"/>
      <c r="C19" s="14"/>
      <c r="D19" s="8"/>
      <c r="E19" s="8"/>
      <c r="F19" s="8"/>
      <c r="G19" s="8"/>
      <c r="H19" s="8"/>
      <c r="I19" s="8"/>
      <c r="J19" s="5"/>
    </row>
    <row r="20" spans="2:10" ht="17.25" customHeight="1">
      <c r="B20" s="14" t="s">
        <v>72</v>
      </c>
      <c r="C20" s="14"/>
      <c r="D20" s="8">
        <v>0</v>
      </c>
      <c r="E20" s="8">
        <v>0</v>
      </c>
      <c r="F20" s="8">
        <v>0</v>
      </c>
      <c r="G20" s="8">
        <v>-867</v>
      </c>
      <c r="H20" s="8">
        <v>0</v>
      </c>
      <c r="I20" s="8">
        <f>SUM(D20:H20)</f>
        <v>-867</v>
      </c>
      <c r="J20" s="5"/>
    </row>
    <row r="21" spans="2:10" ht="17.25" customHeight="1">
      <c r="B21" s="14"/>
      <c r="C21" s="14"/>
      <c r="D21" s="8"/>
      <c r="E21" s="8"/>
      <c r="F21" s="8"/>
      <c r="G21" s="8"/>
      <c r="H21" s="8"/>
      <c r="I21" s="8"/>
      <c r="J21" s="5"/>
    </row>
    <row r="22" spans="2:10" ht="17.25" customHeight="1">
      <c r="B22" s="14" t="s">
        <v>80</v>
      </c>
      <c r="C22" s="14"/>
      <c r="D22" s="8">
        <v>0</v>
      </c>
      <c r="E22" s="8">
        <v>0</v>
      </c>
      <c r="F22" s="8">
        <v>0</v>
      </c>
      <c r="G22" s="8">
        <v>1714</v>
      </c>
      <c r="H22" s="8">
        <f>-2370+2692</f>
        <v>322</v>
      </c>
      <c r="I22" s="8">
        <f>SUM(D22:H22)</f>
        <v>2036</v>
      </c>
      <c r="J22" s="5"/>
    </row>
    <row r="23" spans="2:10" s="14" customFormat="1" ht="17.25" customHeight="1">
      <c r="B23" s="1"/>
      <c r="C23" s="1"/>
      <c r="D23" s="5"/>
      <c r="E23" s="5"/>
      <c r="F23" s="5"/>
      <c r="G23" s="5"/>
      <c r="H23" s="5"/>
      <c r="I23" s="8"/>
      <c r="J23" s="8"/>
    </row>
    <row r="24" spans="2:14" ht="17.25" customHeight="1" thickBot="1">
      <c r="B24" s="2" t="s">
        <v>79</v>
      </c>
      <c r="C24" s="2"/>
      <c r="D24" s="11">
        <f aca="true" t="shared" si="0" ref="D24:I24">SUM(D12:D22)</f>
        <v>240719</v>
      </c>
      <c r="E24" s="11">
        <f t="shared" si="0"/>
        <v>74485</v>
      </c>
      <c r="F24" s="11">
        <f t="shared" si="0"/>
        <v>-4840</v>
      </c>
      <c r="G24" s="11">
        <f t="shared" si="0"/>
        <v>3474</v>
      </c>
      <c r="H24" s="11">
        <f t="shared" si="0"/>
        <v>-2370</v>
      </c>
      <c r="I24" s="11">
        <f t="shared" si="0"/>
        <v>311468</v>
      </c>
      <c r="J24" s="5"/>
      <c r="M24" s="7" t="s">
        <v>192</v>
      </c>
      <c r="N24" s="7" t="s">
        <v>125</v>
      </c>
    </row>
    <row r="25" spans="4:14" ht="17.25" customHeight="1" thickTop="1">
      <c r="D25" s="5"/>
      <c r="E25" s="5"/>
      <c r="F25" s="5"/>
      <c r="G25" s="5"/>
      <c r="H25" s="5"/>
      <c r="I25" s="5"/>
      <c r="J25" s="5"/>
      <c r="K25" s="78" t="s">
        <v>167</v>
      </c>
      <c r="L25" s="69"/>
      <c r="M25" s="79"/>
      <c r="N25" s="69"/>
    </row>
    <row r="26" spans="4:14" s="14" customFormat="1" ht="17.25" customHeight="1">
      <c r="D26" s="8"/>
      <c r="E26" s="8"/>
      <c r="F26" s="8"/>
      <c r="G26" s="8"/>
      <c r="H26" s="8"/>
      <c r="I26" s="8"/>
      <c r="J26" s="8"/>
      <c r="K26" s="78"/>
      <c r="L26" s="69" t="s">
        <v>168</v>
      </c>
      <c r="M26" s="79">
        <v>240718.82924000002</v>
      </c>
      <c r="N26" s="69">
        <v>240718.829</v>
      </c>
    </row>
    <row r="27" spans="2:14" ht="17.25" customHeight="1">
      <c r="B27" s="2" t="s">
        <v>86</v>
      </c>
      <c r="D27" s="5">
        <f>D24</f>
        <v>240719</v>
      </c>
      <c r="E27" s="5">
        <f>E24</f>
        <v>74485</v>
      </c>
      <c r="F27" s="5">
        <f>F24</f>
        <v>-4840</v>
      </c>
      <c r="G27" s="5">
        <f>G24</f>
        <v>3474</v>
      </c>
      <c r="H27" s="5">
        <f>H24</f>
        <v>-2370</v>
      </c>
      <c r="I27" s="5">
        <f>SUM(D27:H27)</f>
        <v>311468</v>
      </c>
      <c r="J27" s="5"/>
      <c r="K27" s="78"/>
      <c r="L27" s="69" t="s">
        <v>169</v>
      </c>
      <c r="M27" s="79">
        <v>74484.78721</v>
      </c>
      <c r="N27" s="69">
        <v>74484.78721</v>
      </c>
    </row>
    <row r="28" spans="2:14" ht="17.25" customHeight="1">
      <c r="B28" s="2"/>
      <c r="D28" s="5"/>
      <c r="E28" s="5"/>
      <c r="F28" s="5"/>
      <c r="G28" s="5"/>
      <c r="H28" s="5"/>
      <c r="I28" s="5"/>
      <c r="J28" s="5"/>
      <c r="K28" s="78"/>
      <c r="L28" s="69" t="s">
        <v>170</v>
      </c>
      <c r="M28" s="79">
        <v>-4087.1613715671265</v>
      </c>
      <c r="N28" s="69">
        <v>-4868.559067654697</v>
      </c>
    </row>
    <row r="29" spans="2:14" ht="17.25" customHeight="1" hidden="1">
      <c r="B29" s="5" t="s">
        <v>120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SUM(D29:H29)</f>
        <v>0</v>
      </c>
      <c r="J29" s="5"/>
      <c r="K29" s="78"/>
      <c r="L29" s="69" t="s">
        <v>171</v>
      </c>
      <c r="M29" s="79">
        <v>28.952972000000067</v>
      </c>
      <c r="N29" s="69">
        <v>28.913</v>
      </c>
    </row>
    <row r="30" spans="2:14" ht="17.25" customHeight="1" hidden="1">
      <c r="B30" s="2"/>
      <c r="D30" s="5"/>
      <c r="E30" s="5"/>
      <c r="F30" s="5"/>
      <c r="G30" s="5"/>
      <c r="H30" s="5"/>
      <c r="I30" s="5"/>
      <c r="J30" s="5"/>
      <c r="K30" s="78"/>
      <c r="L30" s="69" t="s">
        <v>172</v>
      </c>
      <c r="M30" s="79">
        <v>15800.918220153211</v>
      </c>
      <c r="N30" s="69">
        <v>1713.5647336508353</v>
      </c>
    </row>
    <row r="31" spans="2:14" ht="17.25" customHeight="1">
      <c r="B31" s="14" t="s">
        <v>33</v>
      </c>
      <c r="D31" s="5">
        <v>0</v>
      </c>
      <c r="E31" s="5">
        <v>0</v>
      </c>
      <c r="F31" s="5">
        <f>-F27+M28+M29</f>
        <v>781.7916004328736</v>
      </c>
      <c r="G31" s="5">
        <v>0</v>
      </c>
      <c r="H31" s="5">
        <v>0</v>
      </c>
      <c r="I31" s="5">
        <f>SUM(D31:H31)</f>
        <v>781.7916004328736</v>
      </c>
      <c r="J31" s="5"/>
      <c r="K31" s="78"/>
      <c r="L31" s="69" t="s">
        <v>173</v>
      </c>
      <c r="M31" s="97">
        <v>3475.076767023314</v>
      </c>
      <c r="N31" s="98">
        <v>2628.0996665296557</v>
      </c>
    </row>
    <row r="32" spans="2:14" ht="17.25" customHeight="1">
      <c r="B32" s="14"/>
      <c r="D32" s="5"/>
      <c r="E32" s="5"/>
      <c r="F32" s="5"/>
      <c r="G32" s="5"/>
      <c r="H32" s="5"/>
      <c r="I32" s="5"/>
      <c r="J32" s="5"/>
      <c r="K32" s="78"/>
      <c r="L32" s="69" t="s">
        <v>174</v>
      </c>
      <c r="M32" s="79">
        <v>330421.4030376094</v>
      </c>
      <c r="N32" s="69">
        <v>314705.6345425258</v>
      </c>
    </row>
    <row r="33" spans="2:14" ht="17.25" customHeight="1">
      <c r="B33" s="14" t="s">
        <v>193</v>
      </c>
      <c r="D33" s="5"/>
      <c r="E33" s="5"/>
      <c r="F33" s="5"/>
      <c r="G33" s="5"/>
      <c r="H33" s="5">
        <f>-H27+M33-H37-1</f>
        <v>282.58960000000013</v>
      </c>
      <c r="I33" s="5">
        <f>SUM(D33:H33)</f>
        <v>282.58960000000013</v>
      </c>
      <c r="J33" s="5"/>
      <c r="K33" s="78"/>
      <c r="L33" s="69" t="s">
        <v>175</v>
      </c>
      <c r="M33" s="79">
        <v>-1565.666216</v>
      </c>
      <c r="N33" s="69">
        <v>-2370.465358</v>
      </c>
    </row>
    <row r="34" spans="2:14" ht="17.25" customHeight="1">
      <c r="B34" s="15"/>
      <c r="C34" s="14"/>
      <c r="D34" s="5"/>
      <c r="E34" s="5"/>
      <c r="F34" s="5"/>
      <c r="G34" s="5"/>
      <c r="H34" s="5"/>
      <c r="I34" s="5"/>
      <c r="J34" s="5"/>
      <c r="K34" s="78"/>
      <c r="L34" s="69" t="s">
        <v>176</v>
      </c>
      <c r="M34" s="97">
        <v>-5199.526290000001</v>
      </c>
      <c r="N34" s="69">
        <v>-866.58785</v>
      </c>
    </row>
    <row r="35" spans="2:14" ht="17.25" customHeight="1" thickBot="1">
      <c r="B35" s="14" t="s">
        <v>87</v>
      </c>
      <c r="C35" s="14"/>
      <c r="D35" s="5">
        <v>0</v>
      </c>
      <c r="E35" s="5">
        <v>0</v>
      </c>
      <c r="F35" s="5">
        <v>0</v>
      </c>
      <c r="G35" s="5">
        <v>-5200</v>
      </c>
      <c r="H35" s="5">
        <v>0</v>
      </c>
      <c r="I35" s="5">
        <f>SUM(D35:H35)</f>
        <v>-5200</v>
      </c>
      <c r="J35" s="5"/>
      <c r="K35" s="78"/>
      <c r="L35" s="69"/>
      <c r="M35" s="95">
        <v>323656.2105316094</v>
      </c>
      <c r="N35" s="96">
        <v>311468.5813345258</v>
      </c>
    </row>
    <row r="36" spans="4:10" s="14" customFormat="1" ht="17.25" customHeight="1" thickTop="1">
      <c r="D36" s="8"/>
      <c r="E36" s="8"/>
      <c r="F36" s="8"/>
      <c r="G36" s="8"/>
      <c r="H36" s="8"/>
      <c r="I36" s="8"/>
      <c r="J36" s="8"/>
    </row>
    <row r="37" spans="2:14" s="14" customFormat="1" ht="15.75">
      <c r="B37" s="1" t="s">
        <v>89</v>
      </c>
      <c r="C37" s="1"/>
      <c r="D37" s="8">
        <v>0</v>
      </c>
      <c r="E37" s="8">
        <v>0</v>
      </c>
      <c r="F37" s="8">
        <v>0</v>
      </c>
      <c r="G37" s="8">
        <f>PL!H26</f>
        <v>15800.918220153188</v>
      </c>
      <c r="H37" s="8">
        <f>PL!H27</f>
        <v>520.7441839999998</v>
      </c>
      <c r="I37" s="5">
        <f>SUM(D37:H37)</f>
        <v>16321.662404153187</v>
      </c>
      <c r="J37" s="8"/>
      <c r="N37" s="46"/>
    </row>
    <row r="38" spans="4:10" s="14" customFormat="1" ht="15.75">
      <c r="D38" s="8"/>
      <c r="E38" s="8"/>
      <c r="F38" s="8"/>
      <c r="G38" s="8"/>
      <c r="H38" s="8"/>
      <c r="I38" s="8"/>
      <c r="J38" s="8"/>
    </row>
    <row r="39" spans="2:14" s="14" customFormat="1" ht="24.75" customHeight="1" thickBot="1">
      <c r="B39" s="2" t="s">
        <v>238</v>
      </c>
      <c r="D39" s="11">
        <f>SUM(D27:D37)</f>
        <v>240719</v>
      </c>
      <c r="E39" s="11">
        <f>SUM(E27:E37)</f>
        <v>74485</v>
      </c>
      <c r="F39" s="11">
        <f>SUM(F27:F37)</f>
        <v>-4058.2083995671264</v>
      </c>
      <c r="G39" s="11">
        <f>SUM(G27:G37)</f>
        <v>14074.918220153188</v>
      </c>
      <c r="H39" s="11">
        <f>SUM(H27:H37)+1</f>
        <v>-1565.666216</v>
      </c>
      <c r="I39" s="11">
        <f>SUM(I27:I37)+1</f>
        <v>323655.0436045861</v>
      </c>
      <c r="J39" s="8"/>
      <c r="N39" s="46"/>
    </row>
    <row r="40" ht="16.5" thickTop="1">
      <c r="J40" s="5"/>
    </row>
    <row r="41" spans="6:10" ht="15.75">
      <c r="F41" s="13"/>
      <c r="J41" s="5"/>
    </row>
    <row r="42" ht="15.75">
      <c r="J42" s="5"/>
    </row>
    <row r="43" ht="15.75">
      <c r="J43" s="5"/>
    </row>
    <row r="44" ht="15.75">
      <c r="J44" s="5"/>
    </row>
    <row r="45" ht="15.75">
      <c r="J45" s="5"/>
    </row>
    <row r="46" spans="4:10" ht="15.75">
      <c r="D46" s="5"/>
      <c r="E46" s="5"/>
      <c r="F46" s="5"/>
      <c r="G46" s="5"/>
      <c r="H46" s="5"/>
      <c r="I46" s="5"/>
      <c r="J46" s="5"/>
    </row>
    <row r="47" spans="2:10" ht="15.75">
      <c r="B47" s="10" t="s">
        <v>52</v>
      </c>
      <c r="D47" s="5"/>
      <c r="E47" s="5"/>
      <c r="F47" s="5"/>
      <c r="G47" s="5"/>
      <c r="H47" s="5"/>
      <c r="I47" s="5"/>
      <c r="J47" s="5"/>
    </row>
    <row r="48" spans="2:10" ht="15.75">
      <c r="B48" s="10" t="s">
        <v>85</v>
      </c>
      <c r="D48" s="5"/>
      <c r="E48" s="5"/>
      <c r="F48" s="5"/>
      <c r="G48" s="5"/>
      <c r="H48" s="5"/>
      <c r="I48" s="5"/>
      <c r="J48" s="5"/>
    </row>
    <row r="49" spans="4:10" ht="15.75">
      <c r="D49" s="5"/>
      <c r="E49" s="5"/>
      <c r="F49" s="5"/>
      <c r="G49" s="5"/>
      <c r="H49" s="5"/>
      <c r="I49" s="5"/>
      <c r="J49" s="5"/>
    </row>
    <row r="50" spans="4:10" ht="15.75">
      <c r="D50" s="5"/>
      <c r="E50" s="5"/>
      <c r="F50" s="5"/>
      <c r="G50" s="5"/>
      <c r="H50" s="5"/>
      <c r="I50" s="5"/>
      <c r="J50" s="5"/>
    </row>
    <row r="51" spans="4:10" ht="15.75">
      <c r="D51" s="5"/>
      <c r="E51" s="5"/>
      <c r="F51" s="5"/>
      <c r="G51" s="5"/>
      <c r="H51" s="5"/>
      <c r="I51" s="5"/>
      <c r="J51" s="5"/>
    </row>
    <row r="52" spans="4:10" ht="15.75">
      <c r="D52" s="5"/>
      <c r="E52" s="5"/>
      <c r="F52" s="5"/>
      <c r="G52" s="5"/>
      <c r="H52" s="5"/>
      <c r="I52" s="5"/>
      <c r="J52" s="5"/>
    </row>
    <row r="53" spans="4:10" ht="15.75">
      <c r="D53" s="5"/>
      <c r="E53" s="5"/>
      <c r="F53" s="5"/>
      <c r="G53" s="5"/>
      <c r="H53" s="5"/>
      <c r="I53" s="5"/>
      <c r="J53" s="5"/>
    </row>
    <row r="54" spans="4:10" ht="15.75">
      <c r="D54" s="5"/>
      <c r="E54" s="5"/>
      <c r="F54" s="5"/>
      <c r="G54" s="5"/>
      <c r="H54" s="5"/>
      <c r="I54" s="5"/>
      <c r="J54" s="5"/>
    </row>
    <row r="55" spans="4:10" ht="15.75">
      <c r="D55" s="5"/>
      <c r="E55" s="5"/>
      <c r="F55" s="5"/>
      <c r="G55" s="5"/>
      <c r="H55" s="5"/>
      <c r="I55" s="5"/>
      <c r="J55" s="5"/>
    </row>
    <row r="56" spans="4:10" ht="15.75">
      <c r="D56" s="5"/>
      <c r="E56" s="5"/>
      <c r="F56" s="5"/>
      <c r="G56" s="5"/>
      <c r="H56" s="5"/>
      <c r="I56" s="5"/>
      <c r="J56" s="5"/>
    </row>
    <row r="57" spans="4:10" ht="15.75">
      <c r="D57" s="5"/>
      <c r="E57" s="5"/>
      <c r="F57" s="5"/>
      <c r="G57" s="5"/>
      <c r="H57" s="5"/>
      <c r="I57" s="5"/>
      <c r="J57" s="5"/>
    </row>
    <row r="58" spans="4:10" ht="15.75">
      <c r="D58" s="5"/>
      <c r="E58" s="5"/>
      <c r="F58" s="5"/>
      <c r="G58" s="5"/>
      <c r="H58" s="5"/>
      <c r="I58" s="5"/>
      <c r="J58" s="5"/>
    </row>
    <row r="59" spans="4:10" ht="15.75">
      <c r="D59" s="5"/>
      <c r="E59" s="5"/>
      <c r="F59" s="5"/>
      <c r="G59" s="5"/>
      <c r="H59" s="5"/>
      <c r="I59" s="5"/>
      <c r="J59" s="5"/>
    </row>
    <row r="60" spans="4:10" ht="15.75">
      <c r="D60" s="5"/>
      <c r="E60" s="5"/>
      <c r="F60" s="5"/>
      <c r="G60" s="5"/>
      <c r="H60" s="5"/>
      <c r="I60" s="5"/>
      <c r="J60" s="5"/>
    </row>
  </sheetData>
  <mergeCells count="1">
    <mergeCell ref="D7:G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="75" zoomScaleNormal="75" workbookViewId="0" topLeftCell="A1">
      <selection activeCell="C12" sqref="C12"/>
    </sheetView>
  </sheetViews>
  <sheetFormatPr defaultColWidth="9.140625" defaultRowHeight="12.75"/>
  <cols>
    <col min="1" max="1" width="3.8515625" style="17" customWidth="1"/>
    <col min="2" max="2" width="52.7109375" style="17" customWidth="1"/>
    <col min="3" max="3" width="18.421875" style="25" bestFit="1" customWidth="1"/>
    <col min="4" max="4" width="6.8515625" style="25" customWidth="1"/>
    <col min="5" max="5" width="18.421875" style="25" bestFit="1" customWidth="1"/>
    <col min="6" max="6" width="11.00390625" style="18" customWidth="1"/>
    <col min="7" max="7" width="3.57421875" style="101" hidden="1" customWidth="1"/>
    <col min="8" max="8" width="23.28125" style="101" hidden="1" customWidth="1"/>
    <col min="9" max="9" width="13.140625" style="101" hidden="1" customWidth="1"/>
    <col min="10" max="10" width="3.8515625" style="101" hidden="1" customWidth="1"/>
    <col min="11" max="11" width="14.7109375" style="111" hidden="1" customWidth="1"/>
    <col min="12" max="12" width="13.28125" style="17" hidden="1" customWidth="1"/>
    <col min="13" max="13" width="15.140625" style="17" hidden="1" customWidth="1"/>
    <col min="14" max="16384" width="9.140625" style="17" customWidth="1"/>
  </cols>
  <sheetData>
    <row r="1" spans="2:4" ht="15">
      <c r="B1" s="16" t="s">
        <v>14</v>
      </c>
      <c r="C1" s="56"/>
      <c r="D1" s="56"/>
    </row>
    <row r="2" spans="2:10" ht="15">
      <c r="B2" s="16" t="s">
        <v>34</v>
      </c>
      <c r="C2" s="56"/>
      <c r="D2" s="56"/>
      <c r="G2" s="111"/>
      <c r="H2" s="111"/>
      <c r="I2" s="111"/>
      <c r="J2" s="111"/>
    </row>
    <row r="3" spans="2:11" ht="15">
      <c r="B3" s="16" t="s">
        <v>128</v>
      </c>
      <c r="C3" s="56"/>
      <c r="D3" s="56"/>
      <c r="G3" s="111"/>
      <c r="H3" s="111"/>
      <c r="I3" s="111"/>
      <c r="J3" s="111"/>
      <c r="K3" s="119">
        <v>2006</v>
      </c>
    </row>
    <row r="4" spans="2:11" ht="15">
      <c r="B4" s="19" t="str">
        <f>'Chg in equity'!B4</f>
        <v>The figures have not been audited.</v>
      </c>
      <c r="F4" s="20"/>
      <c r="G4" s="111"/>
      <c r="H4" s="111"/>
      <c r="I4" s="111"/>
      <c r="J4" s="111"/>
      <c r="K4" s="119" t="s">
        <v>9</v>
      </c>
    </row>
    <row r="5" spans="2:7" ht="15">
      <c r="B5" s="19"/>
      <c r="C5" s="57"/>
      <c r="D5" s="56"/>
      <c r="E5" s="57"/>
      <c r="F5" s="20"/>
      <c r="G5" s="122" t="s">
        <v>204</v>
      </c>
    </row>
    <row r="6" spans="2:6" ht="15">
      <c r="B6" s="19"/>
      <c r="C6" s="21" t="s">
        <v>195</v>
      </c>
      <c r="D6" s="16"/>
      <c r="E6" s="21" t="s">
        <v>195</v>
      </c>
      <c r="F6" s="20"/>
    </row>
    <row r="7" spans="3:11" ht="15">
      <c r="C7" s="52">
        <f>PL!D11</f>
        <v>39082</v>
      </c>
      <c r="D7" s="17"/>
      <c r="E7" s="52">
        <f>PL!F11</f>
        <v>38717</v>
      </c>
      <c r="F7" s="20"/>
      <c r="G7" s="121"/>
      <c r="H7" s="123" t="s">
        <v>205</v>
      </c>
      <c r="I7" s="123"/>
      <c r="J7" s="123"/>
      <c r="K7" s="115">
        <v>263374713.66698697</v>
      </c>
    </row>
    <row r="8" spans="3:13" ht="15">
      <c r="C8" s="57" t="s">
        <v>9</v>
      </c>
      <c r="E8" s="57" t="s">
        <v>9</v>
      </c>
      <c r="F8" s="20"/>
      <c r="G8" s="123"/>
      <c r="H8" s="123" t="s">
        <v>206</v>
      </c>
      <c r="I8" s="123"/>
      <c r="J8" s="123"/>
      <c r="K8" s="115">
        <v>-249585222.11270106</v>
      </c>
      <c r="L8" s="136">
        <f>M21</f>
        <v>19395862.270698078</v>
      </c>
      <c r="M8" s="136">
        <f>K8+L8</f>
        <v>-230189359.842003</v>
      </c>
    </row>
    <row r="9" spans="2:11" ht="15">
      <c r="B9" s="16" t="s">
        <v>42</v>
      </c>
      <c r="C9" s="56"/>
      <c r="D9" s="56"/>
      <c r="E9" s="56"/>
      <c r="G9" s="123"/>
      <c r="H9" s="123" t="s">
        <v>207</v>
      </c>
      <c r="I9" s="123"/>
      <c r="J9" s="123"/>
      <c r="K9" s="115">
        <v>-6803274.472074001</v>
      </c>
    </row>
    <row r="10" spans="2:11" ht="15">
      <c r="B10" s="17" t="s">
        <v>38</v>
      </c>
      <c r="C10" s="55">
        <f>K7/1000+K38/1000</f>
        <v>263445.73057698697</v>
      </c>
      <c r="D10" s="55"/>
      <c r="E10" s="55">
        <v>229395</v>
      </c>
      <c r="G10" s="123"/>
      <c r="H10" s="123" t="s">
        <v>74</v>
      </c>
      <c r="I10" s="123"/>
      <c r="J10" s="123"/>
      <c r="K10" s="115">
        <v>-9247913.534594443</v>
      </c>
    </row>
    <row r="11" spans="2:11" ht="15">
      <c r="B11" s="17" t="s">
        <v>39</v>
      </c>
      <c r="C11" s="55">
        <f>M8/1000</f>
        <v>-230189.35984200297</v>
      </c>
      <c r="D11" s="55"/>
      <c r="E11" s="55">
        <v>-197622</v>
      </c>
      <c r="G11" s="122"/>
      <c r="H11" s="123"/>
      <c r="I11" s="123"/>
      <c r="J11" s="123"/>
      <c r="K11" s="115">
        <v>0</v>
      </c>
    </row>
    <row r="12" spans="2:11" ht="15">
      <c r="B12" s="17" t="s">
        <v>35</v>
      </c>
      <c r="C12" s="55">
        <f>K9/1000</f>
        <v>-6803.274472074001</v>
      </c>
      <c r="D12" s="55"/>
      <c r="E12" s="55">
        <v>-8858</v>
      </c>
      <c r="G12" s="122"/>
      <c r="H12" s="123"/>
      <c r="I12" s="123"/>
      <c r="J12" s="123"/>
      <c r="K12" s="120"/>
    </row>
    <row r="13" spans="2:11" ht="15">
      <c r="B13" s="17" t="s">
        <v>74</v>
      </c>
      <c r="C13" s="55">
        <f>K10/1000</f>
        <v>-9247.913534594443</v>
      </c>
      <c r="D13" s="55"/>
      <c r="E13" s="55">
        <f>2902-3347</f>
        <v>-445</v>
      </c>
      <c r="G13" s="124" t="s">
        <v>208</v>
      </c>
      <c r="H13" s="123"/>
      <c r="I13" s="123"/>
      <c r="J13" s="123"/>
      <c r="K13" s="125">
        <v>-2261696.45238253</v>
      </c>
    </row>
    <row r="14" spans="3:11" ht="15">
      <c r="C14" s="55"/>
      <c r="D14" s="55"/>
      <c r="E14" s="55"/>
      <c r="G14" s="124"/>
      <c r="H14" s="123"/>
      <c r="I14" s="123"/>
      <c r="J14" s="123"/>
      <c r="K14" s="106"/>
    </row>
    <row r="15" spans="2:11" ht="15" customHeight="1">
      <c r="B15" s="19" t="s">
        <v>63</v>
      </c>
      <c r="C15" s="58">
        <f>SUM(C10:C13)</f>
        <v>17205.18272831555</v>
      </c>
      <c r="D15" s="59"/>
      <c r="E15" s="58">
        <f>SUM(E10:E13)</f>
        <v>22470</v>
      </c>
      <c r="G15" s="122" t="s">
        <v>209</v>
      </c>
      <c r="H15" s="123"/>
      <c r="I15" s="123"/>
      <c r="J15" s="123"/>
      <c r="K15" s="120"/>
    </row>
    <row r="16" spans="3:11" ht="15">
      <c r="C16" s="55"/>
      <c r="D16" s="55"/>
      <c r="E16" s="55"/>
      <c r="G16" s="123"/>
      <c r="H16" s="123"/>
      <c r="I16" s="123"/>
      <c r="J16" s="123"/>
      <c r="K16" s="120"/>
    </row>
    <row r="17" spans="2:11" ht="15">
      <c r="B17" s="16" t="s">
        <v>43</v>
      </c>
      <c r="C17" s="60"/>
      <c r="D17" s="60"/>
      <c r="E17" s="60"/>
      <c r="G17" s="123"/>
      <c r="H17" s="126" t="s">
        <v>210</v>
      </c>
      <c r="I17" s="123"/>
      <c r="J17" s="123"/>
      <c r="K17" s="127">
        <v>-400000.45799999963</v>
      </c>
    </row>
    <row r="18" spans="2:11" ht="15">
      <c r="B18" s="17" t="s">
        <v>40</v>
      </c>
      <c r="C18" s="55">
        <f>K18/1000</f>
        <v>-5220.867852000002</v>
      </c>
      <c r="D18" s="55"/>
      <c r="E18" s="55">
        <v>-6125</v>
      </c>
      <c r="G18" s="123"/>
      <c r="H18" s="126" t="s">
        <v>40</v>
      </c>
      <c r="I18" s="123"/>
      <c r="J18" s="123"/>
      <c r="K18" s="127">
        <v>-5220867.852000002</v>
      </c>
    </row>
    <row r="19" spans="2:11" ht="15">
      <c r="B19" s="17" t="s">
        <v>211</v>
      </c>
      <c r="C19" s="55">
        <f>K19/1000</f>
        <v>-82</v>
      </c>
      <c r="D19" s="55"/>
      <c r="E19" s="55">
        <v>0</v>
      </c>
      <c r="G19" s="123"/>
      <c r="H19" s="123" t="s">
        <v>211</v>
      </c>
      <c r="I19" s="123"/>
      <c r="J19" s="123"/>
      <c r="K19" s="115">
        <v>-82000</v>
      </c>
    </row>
    <row r="20" spans="2:11" ht="15">
      <c r="B20" s="17" t="s">
        <v>236</v>
      </c>
      <c r="C20" s="55">
        <f>K24/1000</f>
        <v>1814.505</v>
      </c>
      <c r="D20" s="55"/>
      <c r="E20" s="55">
        <v>0</v>
      </c>
      <c r="G20" s="123"/>
      <c r="H20" s="128" t="s">
        <v>212</v>
      </c>
      <c r="I20" s="123"/>
      <c r="J20" s="123"/>
      <c r="K20" s="115">
        <v>0</v>
      </c>
    </row>
    <row r="21" spans="2:13" ht="15">
      <c r="B21" s="17" t="s">
        <v>55</v>
      </c>
      <c r="C21" s="55">
        <f>L21/1000</f>
        <v>15210.575</v>
      </c>
      <c r="D21" s="55"/>
      <c r="E21" s="55">
        <v>4610</v>
      </c>
      <c r="G21" s="123"/>
      <c r="H21" s="126" t="s">
        <v>55</v>
      </c>
      <c r="I21" s="123"/>
      <c r="J21" s="123"/>
      <c r="K21" s="127">
        <v>34606437.27069808</v>
      </c>
      <c r="L21" s="17">
        <f>710575+14500000</f>
        <v>15210575</v>
      </c>
      <c r="M21" s="136">
        <f>K21-L21</f>
        <v>19395862.270698078</v>
      </c>
    </row>
    <row r="22" spans="2:11" ht="15">
      <c r="B22" s="17" t="s">
        <v>198</v>
      </c>
      <c r="C22" s="55">
        <v>0</v>
      </c>
      <c r="D22" s="55"/>
      <c r="E22" s="55">
        <v>11176</v>
      </c>
      <c r="G22" s="123"/>
      <c r="H22" s="123" t="s">
        <v>213</v>
      </c>
      <c r="I22" s="123"/>
      <c r="J22" s="123"/>
      <c r="K22" s="127">
        <v>11196700.334681308</v>
      </c>
    </row>
    <row r="23" spans="2:11" ht="15">
      <c r="B23" s="17" t="s">
        <v>124</v>
      </c>
      <c r="C23" s="55">
        <f>K22/1000</f>
        <v>11196.700334681307</v>
      </c>
      <c r="D23" s="55"/>
      <c r="E23" s="55">
        <v>0</v>
      </c>
      <c r="G23" s="123"/>
      <c r="H23" s="123" t="s">
        <v>214</v>
      </c>
      <c r="I23" s="123"/>
      <c r="J23" s="123"/>
      <c r="K23" s="115">
        <v>1.25</v>
      </c>
    </row>
    <row r="24" spans="2:11" ht="15">
      <c r="B24" s="17" t="s">
        <v>196</v>
      </c>
      <c r="C24" s="55">
        <f>K17/1000</f>
        <v>-400.00045799999964</v>
      </c>
      <c r="D24" s="55"/>
      <c r="E24" s="55">
        <v>-8160</v>
      </c>
      <c r="G24" s="123"/>
      <c r="H24" s="123" t="s">
        <v>215</v>
      </c>
      <c r="I24" s="123"/>
      <c r="J24" s="123"/>
      <c r="K24" s="127">
        <v>1814505</v>
      </c>
    </row>
    <row r="25" spans="2:11" ht="15">
      <c r="B25" s="17" t="s">
        <v>81</v>
      </c>
      <c r="C25" s="55">
        <f>K27/1000</f>
        <v>494.69286</v>
      </c>
      <c r="D25" s="55"/>
      <c r="E25" s="55">
        <v>254</v>
      </c>
      <c r="G25" s="123"/>
      <c r="H25" s="126" t="s">
        <v>216</v>
      </c>
      <c r="I25" s="123"/>
      <c r="J25" s="123"/>
      <c r="K25" s="115">
        <v>-0.2055555572733283</v>
      </c>
    </row>
    <row r="26" spans="2:11" ht="15">
      <c r="B26" s="17" t="s">
        <v>36</v>
      </c>
      <c r="C26" s="55">
        <f>K26/1000</f>
        <v>378.26016999999996</v>
      </c>
      <c r="D26" s="55"/>
      <c r="E26" s="55">
        <v>135</v>
      </c>
      <c r="G26" s="123"/>
      <c r="H26" s="123" t="s">
        <v>217</v>
      </c>
      <c r="I26" s="123"/>
      <c r="J26" s="123"/>
      <c r="K26" s="115">
        <v>378260.17</v>
      </c>
    </row>
    <row r="27" spans="3:11" ht="17.25" customHeight="1">
      <c r="C27" s="55"/>
      <c r="D27" s="55"/>
      <c r="G27" s="122"/>
      <c r="H27" s="123" t="s">
        <v>218</v>
      </c>
      <c r="I27" s="123"/>
      <c r="J27" s="123"/>
      <c r="K27" s="127">
        <v>494692.86</v>
      </c>
    </row>
    <row r="28" spans="2:11" ht="15">
      <c r="B28" s="19" t="s">
        <v>75</v>
      </c>
      <c r="C28" s="58">
        <f>SUM(C18:C27)</f>
        <v>23391.865054681308</v>
      </c>
      <c r="D28" s="59"/>
      <c r="E28" s="58">
        <f>SUM(E18:E27)</f>
        <v>1890</v>
      </c>
      <c r="G28" s="123"/>
      <c r="H28" s="123" t="s">
        <v>219</v>
      </c>
      <c r="I28" s="123"/>
      <c r="J28" s="123"/>
      <c r="K28" s="127">
        <v>0</v>
      </c>
    </row>
    <row r="29" spans="3:11" ht="15">
      <c r="C29" s="55"/>
      <c r="D29" s="55"/>
      <c r="G29" s="123"/>
      <c r="H29" s="123" t="s">
        <v>220</v>
      </c>
      <c r="I29" s="123"/>
      <c r="J29" s="123"/>
      <c r="K29" s="127">
        <v>0</v>
      </c>
    </row>
    <row r="30" spans="2:11" ht="15">
      <c r="B30" s="16" t="s">
        <v>41</v>
      </c>
      <c r="C30" s="60"/>
      <c r="D30" s="60"/>
      <c r="E30" s="55"/>
      <c r="G30" s="123"/>
      <c r="H30" s="123" t="s">
        <v>221</v>
      </c>
      <c r="I30" s="123"/>
      <c r="J30" s="123"/>
      <c r="K30" s="127"/>
    </row>
    <row r="31" spans="2:11" ht="15">
      <c r="B31" s="17" t="s">
        <v>73</v>
      </c>
      <c r="C31" s="55">
        <f>K36/1000</f>
        <v>-5199.52629</v>
      </c>
      <c r="D31" s="55"/>
      <c r="E31" s="55">
        <v>-867</v>
      </c>
      <c r="G31" s="124"/>
      <c r="H31" s="123"/>
      <c r="I31" s="123"/>
      <c r="J31" s="123"/>
      <c r="K31" s="129">
        <v>42293035.32582383</v>
      </c>
    </row>
    <row r="32" spans="2:11" ht="15" hidden="1">
      <c r="B32" s="17" t="s">
        <v>82</v>
      </c>
      <c r="C32" s="25">
        <f>K37/1000</f>
        <v>0</v>
      </c>
      <c r="D32" s="60"/>
      <c r="E32" s="55">
        <v>0</v>
      </c>
      <c r="G32" s="124" t="s">
        <v>222</v>
      </c>
      <c r="H32" s="123"/>
      <c r="I32" s="123"/>
      <c r="J32" s="123"/>
      <c r="K32" s="130"/>
    </row>
    <row r="33" spans="2:11" ht="15" hidden="1">
      <c r="B33" s="17" t="s">
        <v>234</v>
      </c>
      <c r="C33" s="25">
        <f>K40/1000</f>
        <v>0</v>
      </c>
      <c r="D33" s="60"/>
      <c r="E33" s="55">
        <v>0</v>
      </c>
      <c r="G33" s="124"/>
      <c r="H33" s="123"/>
      <c r="I33" s="123"/>
      <c r="J33" s="123"/>
      <c r="K33" s="131"/>
    </row>
    <row r="34" spans="2:11" ht="15">
      <c r="B34" s="17" t="s">
        <v>83</v>
      </c>
      <c r="C34" s="55">
        <v>0</v>
      </c>
      <c r="D34" s="55"/>
      <c r="E34" s="55">
        <v>5491</v>
      </c>
      <c r="G34" s="122" t="s">
        <v>223</v>
      </c>
      <c r="H34" s="123"/>
      <c r="I34" s="123"/>
      <c r="J34" s="123"/>
      <c r="K34" s="132"/>
    </row>
    <row r="35" spans="2:10" ht="15">
      <c r="B35" s="17" t="s">
        <v>123</v>
      </c>
      <c r="C35" s="55">
        <f>K39/1000</f>
        <v>-26627.10738000001</v>
      </c>
      <c r="D35" s="55"/>
      <c r="E35" s="55">
        <v>-21765</v>
      </c>
      <c r="G35" s="122"/>
      <c r="H35" s="123"/>
      <c r="I35" s="123"/>
      <c r="J35" s="123"/>
    </row>
    <row r="36" spans="2:11" ht="15">
      <c r="B36" s="17" t="s">
        <v>57</v>
      </c>
      <c r="C36" s="55">
        <f>K41/1000</f>
        <v>-6118.104869999997</v>
      </c>
      <c r="D36" s="55"/>
      <c r="E36" s="55">
        <v>-7412</v>
      </c>
      <c r="G36" s="122"/>
      <c r="H36" s="123" t="s">
        <v>224</v>
      </c>
      <c r="I36" s="123"/>
      <c r="J36" s="123"/>
      <c r="K36" s="120">
        <v>-5199526.29</v>
      </c>
    </row>
    <row r="37" spans="2:11" ht="15" hidden="1">
      <c r="B37" s="17" t="s">
        <v>197</v>
      </c>
      <c r="C37" s="55">
        <v>0</v>
      </c>
      <c r="D37" s="55"/>
      <c r="E37" s="55">
        <v>0</v>
      </c>
      <c r="G37" s="122"/>
      <c r="H37" s="123" t="s">
        <v>225</v>
      </c>
      <c r="I37" s="123"/>
      <c r="J37" s="123"/>
      <c r="K37" s="115">
        <v>0</v>
      </c>
    </row>
    <row r="38" spans="2:11" ht="18" customHeight="1">
      <c r="B38" s="17" t="s">
        <v>199</v>
      </c>
      <c r="C38" s="55">
        <f>K42/1000</f>
        <v>-2565.517</v>
      </c>
      <c r="D38" s="55"/>
      <c r="E38" s="55">
        <v>-2070</v>
      </c>
      <c r="G38" s="122"/>
      <c r="H38" s="123" t="s">
        <v>83</v>
      </c>
      <c r="I38" s="123"/>
      <c r="J38" s="123"/>
      <c r="K38" s="115">
        <v>71016.91000001132</v>
      </c>
    </row>
    <row r="39" spans="3:11" ht="18" customHeight="1">
      <c r="C39" s="55"/>
      <c r="D39" s="55"/>
      <c r="G39" s="122"/>
      <c r="H39" s="123" t="s">
        <v>226</v>
      </c>
      <c r="I39" s="123"/>
      <c r="J39" s="123"/>
      <c r="K39" s="115">
        <v>-26627107.38000001</v>
      </c>
    </row>
    <row r="40" spans="2:11" ht="18.75" customHeight="1">
      <c r="B40" s="19" t="s">
        <v>66</v>
      </c>
      <c r="C40" s="58">
        <f>SUM(C31:C39)</f>
        <v>-40510.255540000006</v>
      </c>
      <c r="D40" s="59"/>
      <c r="E40" s="58">
        <f>SUM(E31:E39)</f>
        <v>-26623</v>
      </c>
      <c r="G40" s="122"/>
      <c r="H40" s="123" t="s">
        <v>227</v>
      </c>
      <c r="I40" s="123"/>
      <c r="J40" s="123"/>
      <c r="K40" s="115">
        <v>0</v>
      </c>
    </row>
    <row r="41" spans="2:11" ht="15">
      <c r="B41" s="19"/>
      <c r="C41" s="22"/>
      <c r="D41" s="59"/>
      <c r="E41" s="22"/>
      <c r="G41" s="124"/>
      <c r="H41" s="123" t="s">
        <v>57</v>
      </c>
      <c r="I41" s="123"/>
      <c r="J41" s="123"/>
      <c r="K41" s="115">
        <v>-6118104.869999997</v>
      </c>
    </row>
    <row r="42" spans="2:11" ht="15">
      <c r="B42" s="17" t="s">
        <v>56</v>
      </c>
      <c r="C42" s="55">
        <f>K45/1000</f>
        <v>-2.782324600000007</v>
      </c>
      <c r="D42" s="55"/>
      <c r="E42" s="55">
        <v>-74</v>
      </c>
      <c r="G42" s="124"/>
      <c r="H42" s="123" t="s">
        <v>199</v>
      </c>
      <c r="I42" s="123"/>
      <c r="J42" s="123"/>
      <c r="K42" s="115">
        <v>-2565517</v>
      </c>
    </row>
    <row r="43" spans="3:11" ht="18" customHeight="1" thickBot="1">
      <c r="C43" s="55"/>
      <c r="D43" s="55"/>
      <c r="G43" s="124"/>
      <c r="H43" s="123"/>
      <c r="I43" s="123"/>
      <c r="J43" s="123"/>
      <c r="K43" s="133">
        <v>-39944545.769999996</v>
      </c>
    </row>
    <row r="44" spans="2:11" ht="21" customHeight="1" thickTop="1">
      <c r="B44" s="23" t="s">
        <v>62</v>
      </c>
      <c r="C44" s="55">
        <f>+C15+C28+C40+C42</f>
        <v>84.00991839685301</v>
      </c>
      <c r="D44" s="60"/>
      <c r="E44" s="55">
        <f>+E15+E28+E40+E42</f>
        <v>-2337</v>
      </c>
      <c r="G44" s="124"/>
      <c r="H44" s="123"/>
      <c r="I44" s="123"/>
      <c r="J44" s="123"/>
      <c r="K44" s="134"/>
    </row>
    <row r="45" spans="2:11" ht="15">
      <c r="B45" s="23" t="s">
        <v>45</v>
      </c>
      <c r="C45" s="55">
        <f>C46-C44</f>
        <v>-1747.069014003854</v>
      </c>
      <c r="D45" s="60"/>
      <c r="E45" s="55">
        <v>590</v>
      </c>
      <c r="G45" s="124"/>
      <c r="H45" s="123" t="s">
        <v>228</v>
      </c>
      <c r="I45" s="123"/>
      <c r="J45" s="123"/>
      <c r="K45" s="115">
        <v>-2782.324600000007</v>
      </c>
    </row>
    <row r="46" spans="2:11" ht="15.75" thickBot="1">
      <c r="B46" s="23" t="s">
        <v>46</v>
      </c>
      <c r="C46" s="61">
        <f>C54</f>
        <v>-1663.059095607001</v>
      </c>
      <c r="D46" s="60"/>
      <c r="E46" s="61">
        <f>SUM(E44:E45)</f>
        <v>-1747</v>
      </c>
      <c r="G46" s="123"/>
      <c r="H46" s="123"/>
      <c r="I46" s="123"/>
      <c r="J46" s="123"/>
      <c r="K46" s="115"/>
    </row>
    <row r="47" spans="2:11" ht="15.75" thickTop="1">
      <c r="B47" s="24"/>
      <c r="C47" s="62"/>
      <c r="D47" s="62"/>
      <c r="E47" s="62"/>
      <c r="G47" s="123"/>
      <c r="H47" s="124" t="s">
        <v>229</v>
      </c>
      <c r="I47" s="123"/>
      <c r="J47" s="123"/>
      <c r="K47" s="115">
        <v>84010.77884130273</v>
      </c>
    </row>
    <row r="48" spans="2:11" ht="15">
      <c r="B48" s="48" t="s">
        <v>44</v>
      </c>
      <c r="C48" s="63"/>
      <c r="D48" s="63"/>
      <c r="E48" s="63"/>
      <c r="G48" s="123"/>
      <c r="H48" s="124" t="s">
        <v>230</v>
      </c>
      <c r="I48" s="123"/>
      <c r="J48" s="123"/>
      <c r="K48" s="115">
        <v>-1747071.3112910055</v>
      </c>
    </row>
    <row r="49" spans="2:11" ht="15.75" thickBot="1">
      <c r="B49" s="17" t="s">
        <v>47</v>
      </c>
      <c r="C49" s="25">
        <f>I58/1000</f>
        <v>17618.743844393</v>
      </c>
      <c r="D49" s="55"/>
      <c r="E49" s="25">
        <f>K58/1000</f>
        <v>24463.616018709</v>
      </c>
      <c r="G49" s="124" t="s">
        <v>231</v>
      </c>
      <c r="H49" s="124" t="s">
        <v>232</v>
      </c>
      <c r="I49" s="123"/>
      <c r="J49" s="123"/>
      <c r="K49" s="117">
        <v>-1663059.0956070013</v>
      </c>
    </row>
    <row r="50" spans="2:11" ht="15.75" thickTop="1">
      <c r="B50" s="17" t="s">
        <v>48</v>
      </c>
      <c r="C50" s="55">
        <f>I57/1000</f>
        <v>8203.516160000001</v>
      </c>
      <c r="D50" s="55"/>
      <c r="E50" s="55">
        <f>K57/1000</f>
        <v>5942.59731</v>
      </c>
      <c r="G50" s="122"/>
      <c r="H50" s="123"/>
      <c r="I50" s="123"/>
      <c r="J50" s="123"/>
      <c r="K50" s="115">
        <v>-1663060.5324497027</v>
      </c>
    </row>
    <row r="51" spans="2:11" ht="15">
      <c r="B51" s="17" t="s">
        <v>49</v>
      </c>
      <c r="C51" s="55">
        <f>I60/1000</f>
        <v>-21581.8021</v>
      </c>
      <c r="D51" s="55"/>
      <c r="E51" s="55">
        <f>K60/1000</f>
        <v>-28815.284640000005</v>
      </c>
      <c r="G51" s="123"/>
      <c r="H51" s="123"/>
      <c r="I51" s="121"/>
      <c r="J51" s="123"/>
      <c r="K51" s="115">
        <v>1.4368427023291588</v>
      </c>
    </row>
    <row r="52" spans="3:11" ht="15">
      <c r="C52" s="137">
        <f>SUM(C49:C51)</f>
        <v>4240.457904392999</v>
      </c>
      <c r="D52" s="55"/>
      <c r="E52" s="137">
        <f>SUM(E49:E51)</f>
        <v>1590.9286887089947</v>
      </c>
      <c r="G52" s="123"/>
      <c r="H52" s="104"/>
      <c r="I52" s="104"/>
      <c r="J52" s="104"/>
      <c r="K52" s="105"/>
    </row>
    <row r="53" spans="2:11" ht="15">
      <c r="B53" s="101" t="s">
        <v>203</v>
      </c>
      <c r="C53" s="138">
        <f>-5903517/1000</f>
        <v>-5903.517</v>
      </c>
      <c r="D53" s="139"/>
      <c r="E53" s="140">
        <f>-3338000/1000</f>
        <v>-3338</v>
      </c>
      <c r="G53" s="123"/>
      <c r="H53" s="118" t="s">
        <v>233</v>
      </c>
      <c r="I53" s="104"/>
      <c r="J53" s="104"/>
      <c r="K53" s="135"/>
    </row>
    <row r="54" spans="2:11" ht="15.75" thickBot="1">
      <c r="B54" s="101" t="s">
        <v>200</v>
      </c>
      <c r="C54" s="141">
        <f>C52+C53</f>
        <v>-1663.059095607001</v>
      </c>
      <c r="D54" s="139"/>
      <c r="E54" s="142">
        <f>E52+E53</f>
        <v>-1747.0713112910053</v>
      </c>
      <c r="G54" s="123"/>
      <c r="I54" s="104"/>
      <c r="J54" s="104"/>
      <c r="K54" s="106"/>
    </row>
    <row r="55" spans="3:11" ht="15.75" thickTop="1">
      <c r="C55" s="64"/>
      <c r="D55" s="64"/>
      <c r="G55" s="123"/>
      <c r="H55" s="101" t="s">
        <v>200</v>
      </c>
      <c r="I55" s="102" t="s">
        <v>192</v>
      </c>
      <c r="J55" s="102"/>
      <c r="K55" s="103" t="s">
        <v>125</v>
      </c>
    </row>
    <row r="56" spans="3:11" ht="15">
      <c r="C56" s="64"/>
      <c r="D56" s="64"/>
      <c r="I56" s="104"/>
      <c r="J56" s="104"/>
      <c r="K56" s="106"/>
    </row>
    <row r="57" spans="8:11" ht="15">
      <c r="H57" s="101" t="s">
        <v>201</v>
      </c>
      <c r="I57" s="107">
        <v>8203516.16</v>
      </c>
      <c r="J57" s="107"/>
      <c r="K57" s="106">
        <v>5942597.3100000005</v>
      </c>
    </row>
    <row r="58" spans="2:11" ht="15">
      <c r="B58" s="19" t="s">
        <v>53</v>
      </c>
      <c r="H58" s="101" t="s">
        <v>154</v>
      </c>
      <c r="I58" s="108">
        <v>17618743.844393</v>
      </c>
      <c r="J58" s="108"/>
      <c r="K58" s="109">
        <v>24463616.018709</v>
      </c>
    </row>
    <row r="59" spans="2:11" ht="15">
      <c r="B59" s="19" t="s">
        <v>88</v>
      </c>
      <c r="H59" s="101" t="s">
        <v>202</v>
      </c>
      <c r="I59" s="110">
        <v>25822260.004393</v>
      </c>
      <c r="J59" s="110"/>
      <c r="K59" s="112">
        <v>30406213.328709</v>
      </c>
    </row>
    <row r="60" spans="8:11" ht="15">
      <c r="H60" s="101" t="s">
        <v>49</v>
      </c>
      <c r="I60" s="108">
        <v>-21581802.1</v>
      </c>
      <c r="J60" s="108"/>
      <c r="K60" s="113">
        <v>-28815284.640000004</v>
      </c>
    </row>
    <row r="61" spans="9:11" ht="15">
      <c r="I61" s="110">
        <v>4240457.904392999</v>
      </c>
      <c r="J61" s="110"/>
      <c r="K61" s="110">
        <v>1590928.6887089945</v>
      </c>
    </row>
    <row r="62" spans="8:11" ht="15">
      <c r="H62" s="101" t="s">
        <v>203</v>
      </c>
      <c r="I62" s="114">
        <v>-5903517</v>
      </c>
      <c r="J62" s="114"/>
      <c r="K62" s="115">
        <v>-3338000</v>
      </c>
    </row>
    <row r="63" spans="8:11" ht="15.75" thickBot="1">
      <c r="H63" s="101" t="s">
        <v>200</v>
      </c>
      <c r="I63" s="116">
        <v>-1663059.0956070013</v>
      </c>
      <c r="J63" s="116"/>
      <c r="K63" s="117">
        <v>-1747071.3112910055</v>
      </c>
    </row>
    <row r="64" ht="15.75" thickTop="1"/>
  </sheetData>
  <printOptions/>
  <pageMargins left="1" right="0.75" top="0.62" bottom="0.38" header="0.25" footer="0.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esther.kee</cp:lastModifiedBy>
  <cp:lastPrinted>2007-02-27T07:44:09Z</cp:lastPrinted>
  <dcterms:created xsi:type="dcterms:W3CDTF">2001-05-15T09:39:25Z</dcterms:created>
  <dcterms:modified xsi:type="dcterms:W3CDTF">2007-02-27T08:39:40Z</dcterms:modified>
  <cp:category/>
  <cp:version/>
  <cp:contentType/>
  <cp:contentStatus/>
</cp:coreProperties>
</file>